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eri\Documents\"/>
    </mc:Choice>
  </mc:AlternateContent>
  <xr:revisionPtr revIDLastSave="0" documentId="13_ncr:1_{3D85D476-0D28-4B3E-8AE4-D439C0FDEB77}" xr6:coauthVersionLast="37" xr6:coauthVersionMax="37" xr10:uidLastSave="{00000000-0000-0000-0000-000000000000}"/>
  <bookViews>
    <workbookView xWindow="0" yWindow="0" windowWidth="12878" windowHeight="4643" activeTab="1" xr2:uid="{1318C0E0-146B-4A5B-AED7-0386B11B4549}"/>
  </bookViews>
  <sheets>
    <sheet name="Suivi consommation" sheetId="1" r:id="rId1"/>
    <sheet name="Abaque pleins E85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25" i="2" l="1"/>
  <c r="AD25" i="2" s="1"/>
  <c r="AC26" i="2"/>
  <c r="AD26" i="2" s="1"/>
  <c r="AC27" i="2"/>
  <c r="AD27" i="2" s="1"/>
  <c r="AE27" i="2" s="1"/>
  <c r="AC28" i="2"/>
  <c r="AD28" i="2" s="1"/>
  <c r="AE28" i="2" s="1"/>
  <c r="AF28" i="2" s="1"/>
  <c r="AG28" i="2" s="1"/>
  <c r="AC29" i="2"/>
  <c r="AD29" i="2" s="1"/>
  <c r="AC30" i="2"/>
  <c r="AD30" i="2" s="1"/>
  <c r="AC31" i="2"/>
  <c r="AD31" i="2" s="1"/>
  <c r="AE31" i="2" s="1"/>
  <c r="AC32" i="2"/>
  <c r="AD32" i="2" s="1"/>
  <c r="AG32" i="2"/>
  <c r="AH32" i="2" s="1"/>
  <c r="AC24" i="2"/>
  <c r="Y32" i="2"/>
  <c r="W32" i="2"/>
  <c r="Z32" i="2" s="1"/>
  <c r="AA32" i="2" s="1"/>
  <c r="Y31" i="2"/>
  <c r="Z31" i="2" s="1"/>
  <c r="AA31" i="2" s="1"/>
  <c r="X31" i="2"/>
  <c r="W31" i="2"/>
  <c r="Y30" i="2"/>
  <c r="W30" i="2"/>
  <c r="X30" i="2" s="1"/>
  <c r="Y29" i="2"/>
  <c r="W29" i="2"/>
  <c r="X29" i="2" s="1"/>
  <c r="Y28" i="2"/>
  <c r="W28" i="2"/>
  <c r="Z28" i="2" s="1"/>
  <c r="AA28" i="2" s="1"/>
  <c r="Y27" i="2"/>
  <c r="W27" i="2"/>
  <c r="X27" i="2" s="1"/>
  <c r="Y26" i="2"/>
  <c r="W26" i="2"/>
  <c r="X26" i="2" s="1"/>
  <c r="Y25" i="2"/>
  <c r="Z25" i="2" s="1"/>
  <c r="AA25" i="2" s="1"/>
  <c r="W25" i="2"/>
  <c r="X25" i="2" s="1"/>
  <c r="Y24" i="2"/>
  <c r="W24" i="2"/>
  <c r="Z24" i="2" s="1"/>
  <c r="AA24" i="2" s="1"/>
  <c r="S32" i="2"/>
  <c r="Q32" i="2"/>
  <c r="T32" i="2" s="1"/>
  <c r="U32" i="2" s="1"/>
  <c r="S31" i="2"/>
  <c r="T31" i="2" s="1"/>
  <c r="U31" i="2" s="1"/>
  <c r="Q31" i="2"/>
  <c r="R31" i="2" s="1"/>
  <c r="S30" i="2"/>
  <c r="T30" i="2" s="1"/>
  <c r="U30" i="2" s="1"/>
  <c r="R30" i="2"/>
  <c r="Q30" i="2"/>
  <c r="S29" i="2"/>
  <c r="Q29" i="2"/>
  <c r="R29" i="2" s="1"/>
  <c r="T28" i="2"/>
  <c r="U28" i="2" s="1"/>
  <c r="S28" i="2"/>
  <c r="Q28" i="2"/>
  <c r="R28" i="2" s="1"/>
  <c r="S27" i="2"/>
  <c r="Q27" i="2"/>
  <c r="R27" i="2" s="1"/>
  <c r="S26" i="2"/>
  <c r="Q26" i="2"/>
  <c r="R26" i="2" s="1"/>
  <c r="S25" i="2"/>
  <c r="T25" i="2" s="1"/>
  <c r="U25" i="2" s="1"/>
  <c r="Q25" i="2"/>
  <c r="R25" i="2" s="1"/>
  <c r="S24" i="2"/>
  <c r="Q24" i="2"/>
  <c r="R24" i="2" s="1"/>
  <c r="M32" i="2"/>
  <c r="N32" i="2" s="1"/>
  <c r="O32" i="2" s="1"/>
  <c r="L32" i="2"/>
  <c r="K32" i="2"/>
  <c r="M31" i="2"/>
  <c r="N31" i="2" s="1"/>
  <c r="O31" i="2" s="1"/>
  <c r="L31" i="2"/>
  <c r="K31" i="2"/>
  <c r="N30" i="2"/>
  <c r="O30" i="2" s="1"/>
  <c r="M30" i="2"/>
  <c r="K30" i="2"/>
  <c r="L30" i="2" s="1"/>
  <c r="M29" i="2"/>
  <c r="N29" i="2" s="1"/>
  <c r="O29" i="2" s="1"/>
  <c r="K29" i="2"/>
  <c r="L29" i="2" s="1"/>
  <c r="M28" i="2"/>
  <c r="N28" i="2" s="1"/>
  <c r="O28" i="2" s="1"/>
  <c r="L28" i="2"/>
  <c r="K28" i="2"/>
  <c r="M27" i="2"/>
  <c r="N27" i="2" s="1"/>
  <c r="O27" i="2" s="1"/>
  <c r="K27" i="2"/>
  <c r="L27" i="2" s="1"/>
  <c r="N26" i="2"/>
  <c r="O26" i="2" s="1"/>
  <c r="M26" i="2"/>
  <c r="L26" i="2"/>
  <c r="K26" i="2"/>
  <c r="M25" i="2"/>
  <c r="N25" i="2" s="1"/>
  <c r="O25" i="2" s="1"/>
  <c r="K25" i="2"/>
  <c r="L25" i="2" s="1"/>
  <c r="N24" i="2"/>
  <c r="O24" i="2" s="1"/>
  <c r="M24" i="2"/>
  <c r="L24" i="2"/>
  <c r="K24" i="2"/>
  <c r="E25" i="2"/>
  <c r="F25" i="2" s="1"/>
  <c r="G25" i="2"/>
  <c r="H25" i="2"/>
  <c r="I25" i="2" s="1"/>
  <c r="E26" i="2"/>
  <c r="F26" i="2"/>
  <c r="G26" i="2"/>
  <c r="H26" i="2" s="1"/>
  <c r="I26" i="2" s="1"/>
  <c r="E27" i="2"/>
  <c r="F27" i="2"/>
  <c r="G27" i="2"/>
  <c r="H27" i="2" s="1"/>
  <c r="I27" i="2" s="1"/>
  <c r="E28" i="2"/>
  <c r="F28" i="2" s="1"/>
  <c r="G28" i="2"/>
  <c r="E29" i="2"/>
  <c r="F29" i="2"/>
  <c r="G29" i="2"/>
  <c r="H29" i="2"/>
  <c r="I29" i="2" s="1"/>
  <c r="E30" i="2"/>
  <c r="F30" i="2"/>
  <c r="G30" i="2"/>
  <c r="H30" i="2" s="1"/>
  <c r="I30" i="2" s="1"/>
  <c r="E31" i="2"/>
  <c r="H31" i="2" s="1"/>
  <c r="I31" i="2" s="1"/>
  <c r="F31" i="2"/>
  <c r="G31" i="2"/>
  <c r="E32" i="2"/>
  <c r="F32" i="2" s="1"/>
  <c r="G32" i="2"/>
  <c r="E24" i="2"/>
  <c r="G24" i="2"/>
  <c r="C32" i="2"/>
  <c r="B32" i="2"/>
  <c r="B31" i="2"/>
  <c r="B30" i="2"/>
  <c r="C29" i="2"/>
  <c r="B29" i="2"/>
  <c r="C28" i="2"/>
  <c r="B28" i="2"/>
  <c r="B27" i="2"/>
  <c r="B26" i="2"/>
  <c r="C25" i="2"/>
  <c r="B25" i="2"/>
  <c r="B24" i="2"/>
  <c r="O19" i="2"/>
  <c r="AI7" i="2"/>
  <c r="AI8" i="2"/>
  <c r="AI9" i="2"/>
  <c r="AI10" i="2"/>
  <c r="AI11" i="2"/>
  <c r="AI12" i="2"/>
  <c r="AI13" i="2"/>
  <c r="AI14" i="2"/>
  <c r="AI15" i="2"/>
  <c r="AH8" i="2"/>
  <c r="AH9" i="2"/>
  <c r="AH10" i="2"/>
  <c r="AH11" i="2"/>
  <c r="AH12" i="2"/>
  <c r="AH13" i="2"/>
  <c r="AH14" i="2"/>
  <c r="AH15" i="2"/>
  <c r="AH7" i="2"/>
  <c r="AG8" i="2"/>
  <c r="AG9" i="2"/>
  <c r="AG10" i="2"/>
  <c r="AG11" i="2"/>
  <c r="AG12" i="2"/>
  <c r="AG13" i="2"/>
  <c r="AG14" i="2"/>
  <c r="AG15" i="2"/>
  <c r="AG7" i="2"/>
  <c r="AE8" i="2"/>
  <c r="AE9" i="2"/>
  <c r="AE10" i="2"/>
  <c r="AE11" i="2"/>
  <c r="AF11" i="2" s="1"/>
  <c r="AE12" i="2"/>
  <c r="AE13" i="2"/>
  <c r="AE14" i="2"/>
  <c r="AE15" i="2"/>
  <c r="AF15" i="2" s="1"/>
  <c r="AE7" i="2"/>
  <c r="AF7" i="2" s="1"/>
  <c r="AF8" i="2"/>
  <c r="AF9" i="2"/>
  <c r="AF10" i="2"/>
  <c r="AF12" i="2"/>
  <c r="AF13" i="2"/>
  <c r="AF14" i="2"/>
  <c r="Y15" i="2"/>
  <c r="Y14" i="2"/>
  <c r="Y13" i="2"/>
  <c r="Y12" i="2"/>
  <c r="Y11" i="2"/>
  <c r="Y10" i="2"/>
  <c r="Y9" i="2"/>
  <c r="Y8" i="2"/>
  <c r="Y7" i="2"/>
  <c r="U2" i="2"/>
  <c r="S15" i="2"/>
  <c r="S14" i="2"/>
  <c r="S13" i="2"/>
  <c r="S12" i="2"/>
  <c r="S11" i="2"/>
  <c r="S10" i="2"/>
  <c r="S9" i="2"/>
  <c r="S8" i="2"/>
  <c r="S7" i="2"/>
  <c r="O2" i="2"/>
  <c r="M15" i="2"/>
  <c r="M14" i="2"/>
  <c r="M13" i="2"/>
  <c r="M12" i="2"/>
  <c r="M11" i="2"/>
  <c r="M10" i="2"/>
  <c r="M9" i="2"/>
  <c r="M8" i="2"/>
  <c r="M7" i="2"/>
  <c r="G8" i="2"/>
  <c r="G9" i="2"/>
  <c r="G10" i="2"/>
  <c r="G11" i="2"/>
  <c r="G12" i="2"/>
  <c r="G13" i="2"/>
  <c r="G14" i="2"/>
  <c r="G15" i="2"/>
  <c r="G7" i="2"/>
  <c r="AI32" i="2" l="1"/>
  <c r="AH28" i="2"/>
  <c r="AI28" i="2" s="1"/>
  <c r="AF27" i="2"/>
  <c r="AG27" i="2" s="1"/>
  <c r="AE32" i="2"/>
  <c r="AF32" i="2" s="1"/>
  <c r="AE25" i="2"/>
  <c r="AF25" i="2" s="1"/>
  <c r="AG25" i="2" s="1"/>
  <c r="AE29" i="2"/>
  <c r="AF29" i="2" s="1"/>
  <c r="AG29" i="2" s="1"/>
  <c r="AF31" i="2"/>
  <c r="AG31" i="2" s="1"/>
  <c r="AE30" i="2"/>
  <c r="AF30" i="2" s="1"/>
  <c r="AG30" i="2" s="1"/>
  <c r="AE26" i="2"/>
  <c r="AF26" i="2" s="1"/>
  <c r="AG26" i="2" s="1"/>
  <c r="Z27" i="2"/>
  <c r="AA27" i="2" s="1"/>
  <c r="Z30" i="2"/>
  <c r="AA30" i="2" s="1"/>
  <c r="Z26" i="2"/>
  <c r="AA26" i="2" s="1"/>
  <c r="Z29" i="2"/>
  <c r="AA29" i="2" s="1"/>
  <c r="T27" i="2"/>
  <c r="U27" i="2" s="1"/>
  <c r="T24" i="2"/>
  <c r="U24" i="2" s="1"/>
  <c r="T29" i="2"/>
  <c r="U29" i="2" s="1"/>
  <c r="T26" i="2"/>
  <c r="U26" i="2" s="1"/>
  <c r="X24" i="2"/>
  <c r="X28" i="2"/>
  <c r="X32" i="2"/>
  <c r="R32" i="2"/>
  <c r="H32" i="2"/>
  <c r="I32" i="2" s="1"/>
  <c r="H28" i="2"/>
  <c r="I28" i="2" s="1"/>
  <c r="C24" i="2"/>
  <c r="F24" i="2"/>
  <c r="AD24" i="2"/>
  <c r="AE24" i="2" s="1"/>
  <c r="C26" i="2"/>
  <c r="C30" i="2"/>
  <c r="C27" i="2"/>
  <c r="C31" i="2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5" i="1"/>
  <c r="G6" i="1"/>
  <c r="P6" i="1" s="1"/>
  <c r="P7" i="1" s="1"/>
  <c r="G7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AH29" i="2" l="1"/>
  <c r="AI29" i="2" s="1"/>
  <c r="AH30" i="2"/>
  <c r="AI30" i="2"/>
  <c r="AH31" i="2"/>
  <c r="AI31" i="2" s="1"/>
  <c r="AH26" i="2"/>
  <c r="AI26" i="2"/>
  <c r="AH27" i="2"/>
  <c r="AI27" i="2" s="1"/>
  <c r="AH25" i="2"/>
  <c r="AI25" i="2" s="1"/>
  <c r="AF24" i="2"/>
  <c r="AG24" i="2" s="1"/>
  <c r="AI24" i="2" s="1"/>
  <c r="H24" i="2"/>
  <c r="I24" i="2" s="1"/>
  <c r="M30" i="1"/>
  <c r="L30" i="1"/>
  <c r="K30" i="1"/>
  <c r="M29" i="1"/>
  <c r="L29" i="1"/>
  <c r="K29" i="1"/>
  <c r="M28" i="1"/>
  <c r="L28" i="1"/>
  <c r="K28" i="1"/>
  <c r="M27" i="1"/>
  <c r="L27" i="1"/>
  <c r="K27" i="1"/>
  <c r="M26" i="1"/>
  <c r="L26" i="1"/>
  <c r="K26" i="1"/>
  <c r="M25" i="1"/>
  <c r="L25" i="1"/>
  <c r="K25" i="1"/>
  <c r="M24" i="1"/>
  <c r="L24" i="1"/>
  <c r="K24" i="1"/>
  <c r="M23" i="1"/>
  <c r="L23" i="1"/>
  <c r="K23" i="1"/>
  <c r="M22" i="1"/>
  <c r="L22" i="1"/>
  <c r="K22" i="1"/>
  <c r="M21" i="1"/>
  <c r="L21" i="1"/>
  <c r="K21" i="1"/>
  <c r="M20" i="1"/>
  <c r="L20" i="1"/>
  <c r="K20" i="1"/>
  <c r="M19" i="1"/>
  <c r="L19" i="1"/>
  <c r="K19" i="1"/>
  <c r="M18" i="1"/>
  <c r="L18" i="1"/>
  <c r="K18" i="1"/>
  <c r="M17" i="1"/>
  <c r="L17" i="1"/>
  <c r="K17" i="1"/>
  <c r="M16" i="1"/>
  <c r="L16" i="1"/>
  <c r="K16" i="1"/>
  <c r="M15" i="1"/>
  <c r="L15" i="1"/>
  <c r="K15" i="1"/>
  <c r="M14" i="1"/>
  <c r="L14" i="1"/>
  <c r="K14" i="1"/>
  <c r="M13" i="1"/>
  <c r="L13" i="1"/>
  <c r="K13" i="1"/>
  <c r="M12" i="1"/>
  <c r="L12" i="1"/>
  <c r="K12" i="1"/>
  <c r="M11" i="1"/>
  <c r="L11" i="1"/>
  <c r="K11" i="1"/>
  <c r="M10" i="1"/>
  <c r="L10" i="1"/>
  <c r="K10" i="1"/>
  <c r="M9" i="1"/>
  <c r="L9" i="1"/>
  <c r="K9" i="1"/>
  <c r="M8" i="1"/>
  <c r="K8" i="1"/>
  <c r="L8" i="1"/>
  <c r="K7" i="1"/>
  <c r="M7" i="1" s="1"/>
  <c r="B7" i="2"/>
  <c r="B13" i="2"/>
  <c r="AC13" i="2" s="1"/>
  <c r="B14" i="2"/>
  <c r="AC14" i="2" s="1"/>
  <c r="B15" i="2"/>
  <c r="AC15" i="2" s="1"/>
  <c r="B12" i="2"/>
  <c r="B11" i="2"/>
  <c r="B10" i="2"/>
  <c r="B9" i="2"/>
  <c r="AC9" i="2" s="1"/>
  <c r="B8" i="2"/>
  <c r="O18" i="1"/>
  <c r="J18" i="1"/>
  <c r="O17" i="1"/>
  <c r="J17" i="1"/>
  <c r="O16" i="1"/>
  <c r="J16" i="1"/>
  <c r="O15" i="1"/>
  <c r="J15" i="1"/>
  <c r="O14" i="1"/>
  <c r="J14" i="1"/>
  <c r="O13" i="1"/>
  <c r="J13" i="1"/>
  <c r="O12" i="1"/>
  <c r="J12" i="1"/>
  <c r="O11" i="1"/>
  <c r="J11" i="1"/>
  <c r="O26" i="1"/>
  <c r="J26" i="1"/>
  <c r="O25" i="1"/>
  <c r="J25" i="1"/>
  <c r="O24" i="1"/>
  <c r="J24" i="1"/>
  <c r="O23" i="1"/>
  <c r="J23" i="1"/>
  <c r="O22" i="1"/>
  <c r="J22" i="1"/>
  <c r="O21" i="1"/>
  <c r="J21" i="1"/>
  <c r="O20" i="1"/>
  <c r="J20" i="1"/>
  <c r="O30" i="1"/>
  <c r="O29" i="1"/>
  <c r="O28" i="1"/>
  <c r="O27" i="1"/>
  <c r="O19" i="1"/>
  <c r="O10" i="1"/>
  <c r="O9" i="1"/>
  <c r="O8" i="1"/>
  <c r="O7" i="1"/>
  <c r="O6" i="1"/>
  <c r="O5" i="1"/>
  <c r="J7" i="1"/>
  <c r="L7" i="1" s="1"/>
  <c r="J30" i="1"/>
  <c r="J29" i="1"/>
  <c r="J28" i="1"/>
  <c r="J27" i="1"/>
  <c r="J19" i="1"/>
  <c r="J10" i="1"/>
  <c r="J9" i="1"/>
  <c r="J8" i="1"/>
  <c r="AH24" i="2" l="1"/>
  <c r="AD9" i="2"/>
  <c r="AD15" i="2"/>
  <c r="AC10" i="2"/>
  <c r="AD10" i="2"/>
  <c r="AD14" i="2"/>
  <c r="AC11" i="2"/>
  <c r="AD13" i="2"/>
  <c r="W8" i="2"/>
  <c r="X8" i="2" s="1"/>
  <c r="AC8" i="2"/>
  <c r="AC12" i="2"/>
  <c r="AD12" i="2" s="1"/>
  <c r="AD7" i="2"/>
  <c r="AC7" i="2"/>
  <c r="Q13" i="2"/>
  <c r="W13" i="2"/>
  <c r="Q7" i="2"/>
  <c r="R7" i="2" s="1"/>
  <c r="W7" i="2"/>
  <c r="Q9" i="2"/>
  <c r="R9" i="2" s="1"/>
  <c r="W9" i="2"/>
  <c r="Q15" i="2"/>
  <c r="R15" i="2" s="1"/>
  <c r="W15" i="2"/>
  <c r="Q11" i="2"/>
  <c r="W11" i="2"/>
  <c r="X11" i="2"/>
  <c r="W12" i="2"/>
  <c r="X12" i="2" s="1"/>
  <c r="Q10" i="2"/>
  <c r="R10" i="2" s="1"/>
  <c r="W10" i="2"/>
  <c r="Q14" i="2"/>
  <c r="W14" i="2"/>
  <c r="K12" i="2"/>
  <c r="L12" i="2" s="1"/>
  <c r="Q12" i="2"/>
  <c r="R12" i="2" s="1"/>
  <c r="R11" i="2"/>
  <c r="K8" i="2"/>
  <c r="L8" i="2" s="1"/>
  <c r="Q8" i="2"/>
  <c r="R8" i="2" s="1"/>
  <c r="R13" i="2"/>
  <c r="R14" i="2"/>
  <c r="K13" i="2"/>
  <c r="K7" i="2"/>
  <c r="K9" i="2"/>
  <c r="K15" i="2"/>
  <c r="L15" i="2" s="1"/>
  <c r="K11" i="2"/>
  <c r="K10" i="2"/>
  <c r="K14" i="2"/>
  <c r="C11" i="2"/>
  <c r="E11" i="2"/>
  <c r="C8" i="2"/>
  <c r="E8" i="2"/>
  <c r="C9" i="2"/>
  <c r="E9" i="2"/>
  <c r="C15" i="2"/>
  <c r="E15" i="2"/>
  <c r="C7" i="2"/>
  <c r="E7" i="2"/>
  <c r="C13" i="2"/>
  <c r="E13" i="2"/>
  <c r="C12" i="2"/>
  <c r="E12" i="2"/>
  <c r="C10" i="2"/>
  <c r="E10" i="2"/>
  <c r="C14" i="2"/>
  <c r="E14" i="2"/>
  <c r="E6" i="1"/>
  <c r="J6" i="1" s="1"/>
  <c r="T14" i="2" l="1"/>
  <c r="U14" i="2" s="1"/>
  <c r="N12" i="2"/>
  <c r="O12" i="2" s="1"/>
  <c r="AD11" i="2"/>
  <c r="T13" i="2"/>
  <c r="U13" i="2" s="1"/>
  <c r="Z8" i="2"/>
  <c r="AA8" i="2" s="1"/>
  <c r="AD8" i="2"/>
  <c r="X15" i="2"/>
  <c r="Z15" i="2"/>
  <c r="AA15" i="2" s="1"/>
  <c r="X7" i="2"/>
  <c r="Z7" i="2"/>
  <c r="AA7" i="2" s="1"/>
  <c r="N8" i="2"/>
  <c r="O8" i="2" s="1"/>
  <c r="X14" i="2"/>
  <c r="Z14" i="2"/>
  <c r="AA14" i="2" s="1"/>
  <c r="T10" i="2"/>
  <c r="U10" i="2" s="1"/>
  <c r="T15" i="2"/>
  <c r="U15" i="2" s="1"/>
  <c r="Z12" i="2"/>
  <c r="AA12" i="2" s="1"/>
  <c r="Z11" i="2"/>
  <c r="AA11" i="2" s="1"/>
  <c r="X9" i="2"/>
  <c r="Z9" i="2"/>
  <c r="AA9" i="2" s="1"/>
  <c r="X13" i="2"/>
  <c r="Z13" i="2"/>
  <c r="AA13" i="2" s="1"/>
  <c r="T9" i="2"/>
  <c r="U9" i="2" s="1"/>
  <c r="X10" i="2"/>
  <c r="Z10" i="2"/>
  <c r="AA10" i="2" s="1"/>
  <c r="T8" i="2"/>
  <c r="U8" i="2" s="1"/>
  <c r="N15" i="2"/>
  <c r="O15" i="2" s="1"/>
  <c r="T7" i="2"/>
  <c r="U7" i="2" s="1"/>
  <c r="T12" i="2"/>
  <c r="U12" i="2" s="1"/>
  <c r="T11" i="2"/>
  <c r="U11" i="2" s="1"/>
  <c r="L14" i="2"/>
  <c r="N14" i="2"/>
  <c r="O14" i="2" s="1"/>
  <c r="L10" i="2"/>
  <c r="N10" i="2"/>
  <c r="O10" i="2" s="1"/>
  <c r="L11" i="2"/>
  <c r="N11" i="2"/>
  <c r="O11" i="2" s="1"/>
  <c r="L7" i="2"/>
  <c r="N7" i="2"/>
  <c r="O7" i="2" s="1"/>
  <c r="L13" i="2"/>
  <c r="N13" i="2"/>
  <c r="O13" i="2" s="1"/>
  <c r="N9" i="2"/>
  <c r="O9" i="2" s="1"/>
  <c r="L9" i="2"/>
  <c r="H14" i="2"/>
  <c r="I14" i="2" s="1"/>
  <c r="H12" i="2"/>
  <c r="I12" i="2" s="1"/>
  <c r="H7" i="2"/>
  <c r="I7" i="2" s="1"/>
  <c r="H9" i="2"/>
  <c r="I9" i="2" s="1"/>
  <c r="H11" i="2"/>
  <c r="I11" i="2" s="1"/>
  <c r="H10" i="2"/>
  <c r="I10" i="2" s="1"/>
  <c r="H13" i="2"/>
  <c r="I13" i="2" s="1"/>
  <c r="H15" i="2"/>
  <c r="I15" i="2" s="1"/>
  <c r="H8" i="2"/>
  <c r="I8" i="2" s="1"/>
  <c r="F8" i="2"/>
  <c r="F10" i="2"/>
  <c r="F13" i="2"/>
  <c r="F15" i="2"/>
  <c r="F14" i="2"/>
  <c r="F12" i="2"/>
  <c r="F7" i="2"/>
  <c r="F9" i="2"/>
  <c r="F11" i="2"/>
</calcChain>
</file>

<file path=xl/sharedStrings.xml><?xml version="1.0" encoding="utf-8"?>
<sst xmlns="http://schemas.openxmlformats.org/spreadsheetml/2006/main" count="142" uniqueCount="42">
  <si>
    <t>Date</t>
  </si>
  <si>
    <t>Km</t>
  </si>
  <si>
    <t>SP95</t>
  </si>
  <si>
    <t>E85</t>
  </si>
  <si>
    <t>SUIVI CONSOMMATION ESSENCE JEEP WRANGLER</t>
  </si>
  <si>
    <t>Taux Ethanol</t>
  </si>
  <si>
    <t>Consommation</t>
  </si>
  <si>
    <t>Contenance (litres)</t>
  </si>
  <si>
    <t>Plein (litres)</t>
  </si>
  <si>
    <t>Jauge après plein</t>
  </si>
  <si>
    <t>-</t>
  </si>
  <si>
    <t>Capacité réservoir</t>
  </si>
  <si>
    <t>Jauge avant plein</t>
  </si>
  <si>
    <t>Place disponible</t>
  </si>
  <si>
    <t>litres</t>
  </si>
  <si>
    <t>Coût</t>
  </si>
  <si>
    <t>Total (l)</t>
  </si>
  <si>
    <t>Prix (€)</t>
  </si>
  <si>
    <t>E10</t>
  </si>
  <si>
    <t>€/km</t>
  </si>
  <si>
    <t>l/100km</t>
  </si>
  <si>
    <t>% éthanol</t>
  </si>
  <si>
    <t>Cible</t>
  </si>
  <si>
    <t>1ère étape</t>
  </si>
  <si>
    <t>2ème étape</t>
  </si>
  <si>
    <t>Ethanol</t>
  </si>
  <si>
    <t>SP</t>
  </si>
  <si>
    <t>Contenu réservoir</t>
  </si>
  <si>
    <t>Plein courant</t>
  </si>
  <si>
    <t>Jauge cible</t>
  </si>
  <si>
    <t>Départ</t>
  </si>
  <si>
    <t>Jauge =&gt;</t>
  </si>
  <si>
    <t>3ème étape</t>
  </si>
  <si>
    <t>Plein max sans E85</t>
  </si>
  <si>
    <t>PLEIN</t>
  </si>
  <si>
    <t>mini</t>
  </si>
  <si>
    <t>% E85</t>
  </si>
  <si>
    <t>SP maxi</t>
  </si>
  <si>
    <t>Complément 1</t>
  </si>
  <si>
    <t>Complément 2</t>
  </si>
  <si>
    <t>Complément 3</t>
  </si>
  <si>
    <t>Ethanol cible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</si>
</sst>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#,##0.0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9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/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hair">
        <color auto="1"/>
      </right>
      <top/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ck">
        <color theme="3" tint="0.39991454817346722"/>
      </left>
      <right/>
      <top style="thick">
        <color theme="3" tint="0.39991454817346722"/>
      </top>
      <bottom/>
      <diagonal/>
    </border>
    <border>
      <left/>
      <right/>
      <top style="thick">
        <color theme="3" tint="0.39991454817346722"/>
      </top>
      <bottom/>
      <diagonal/>
    </border>
    <border>
      <left/>
      <right style="thick">
        <color theme="3" tint="0.39991454817346722"/>
      </right>
      <top style="thick">
        <color theme="3" tint="0.39991454817346722"/>
      </top>
      <bottom/>
      <diagonal/>
    </border>
    <border>
      <left style="thick">
        <color theme="3" tint="0.39991454817346722"/>
      </left>
      <right/>
      <top/>
      <bottom/>
      <diagonal/>
    </border>
    <border>
      <left/>
      <right style="thick">
        <color theme="3" tint="0.39991454817346722"/>
      </right>
      <top/>
      <bottom/>
      <diagonal/>
    </border>
    <border>
      <left style="thick">
        <color theme="3" tint="0.39991454817346722"/>
      </left>
      <right/>
      <top/>
      <bottom style="thick">
        <color theme="3" tint="0.39991454817346722"/>
      </bottom>
      <diagonal/>
    </border>
    <border>
      <left/>
      <right/>
      <top/>
      <bottom style="thick">
        <color theme="3" tint="0.39991454817346722"/>
      </bottom>
      <diagonal/>
    </border>
    <border>
      <left/>
      <right style="thick">
        <color theme="3" tint="0.39991454817346722"/>
      </right>
      <top/>
      <bottom style="thick">
        <color theme="3" tint="0.39991454817346722"/>
      </bottom>
      <diagonal/>
    </border>
    <border>
      <left style="thick">
        <color theme="3" tint="0.39988402966399123"/>
      </left>
      <right/>
      <top/>
      <bottom/>
      <diagonal/>
    </border>
    <border>
      <left style="thick">
        <color theme="3" tint="0.39988402966399123"/>
      </left>
      <right/>
      <top/>
      <bottom style="thick">
        <color theme="3" tint="0.39991454817346722"/>
      </bottom>
      <diagonal/>
    </border>
    <border>
      <left style="thick">
        <color theme="5" tint="0.39994506668294322"/>
      </left>
      <right/>
      <top style="thick">
        <color theme="5" tint="0.39994506668294322"/>
      </top>
      <bottom/>
      <diagonal/>
    </border>
    <border>
      <left/>
      <right/>
      <top style="thick">
        <color theme="5" tint="0.39994506668294322"/>
      </top>
      <bottom/>
      <diagonal/>
    </border>
    <border>
      <left/>
      <right style="thick">
        <color theme="5" tint="0.39994506668294322"/>
      </right>
      <top style="thick">
        <color theme="5" tint="0.39994506668294322"/>
      </top>
      <bottom/>
      <diagonal/>
    </border>
    <border>
      <left style="thick">
        <color theme="5" tint="0.39994506668294322"/>
      </left>
      <right/>
      <top/>
      <bottom/>
      <diagonal/>
    </border>
    <border>
      <left/>
      <right style="thick">
        <color theme="5" tint="0.39994506668294322"/>
      </right>
      <top/>
      <bottom/>
      <diagonal/>
    </border>
    <border>
      <left style="thick">
        <color theme="5" tint="0.39994506668294322"/>
      </left>
      <right/>
      <top/>
      <bottom style="thick">
        <color theme="5" tint="0.39994506668294322"/>
      </bottom>
      <diagonal/>
    </border>
    <border>
      <left/>
      <right/>
      <top/>
      <bottom style="thick">
        <color theme="5" tint="0.39994506668294322"/>
      </bottom>
      <diagonal/>
    </border>
    <border>
      <left/>
      <right style="thick">
        <color theme="5" tint="0.39994506668294322"/>
      </right>
      <top/>
      <bottom style="thick">
        <color theme="5" tint="0.39994506668294322"/>
      </bottom>
      <diagonal/>
    </border>
    <border>
      <left style="thick">
        <color theme="5" tint="0.39991454817346722"/>
      </left>
      <right/>
      <top/>
      <bottom style="thick">
        <color theme="5" tint="0.39994506668294322"/>
      </bottom>
      <diagonal/>
    </border>
    <border>
      <left style="thick">
        <color theme="5" tint="0.39991454817346722"/>
      </left>
      <right/>
      <top/>
      <bottom/>
      <diagonal/>
    </border>
    <border>
      <left style="thick">
        <color theme="3" tint="-0.24994659260841701"/>
      </left>
      <right/>
      <top style="thick">
        <color theme="3" tint="-0.24994659260841701"/>
      </top>
      <bottom/>
      <diagonal/>
    </border>
    <border>
      <left/>
      <right/>
      <top style="thick">
        <color theme="3" tint="-0.24994659260841701"/>
      </top>
      <bottom/>
      <diagonal/>
    </border>
    <border>
      <left/>
      <right style="thick">
        <color theme="3" tint="-0.24994659260841701"/>
      </right>
      <top style="thick">
        <color theme="3" tint="-0.24994659260841701"/>
      </top>
      <bottom/>
      <diagonal/>
    </border>
    <border>
      <left style="thick">
        <color theme="3" tint="-0.24994659260841701"/>
      </left>
      <right/>
      <top/>
      <bottom/>
      <diagonal/>
    </border>
    <border>
      <left/>
      <right style="thick">
        <color theme="3" tint="-0.24994659260841701"/>
      </right>
      <top/>
      <bottom/>
      <diagonal/>
    </border>
    <border>
      <left style="thick">
        <color theme="3" tint="-0.24994659260841701"/>
      </left>
      <right/>
      <top/>
      <bottom style="thick">
        <color theme="3" tint="-0.24994659260841701"/>
      </bottom>
      <diagonal/>
    </border>
    <border>
      <left/>
      <right/>
      <top/>
      <bottom style="thick">
        <color theme="3" tint="-0.24994659260841701"/>
      </bottom>
      <diagonal/>
    </border>
    <border>
      <left/>
      <right style="thick">
        <color theme="3" tint="-0.24994659260841701"/>
      </right>
      <top/>
      <bottom style="thick">
        <color theme="3" tint="-0.24994659260841701"/>
      </bottom>
      <diagonal/>
    </border>
    <border>
      <left style="thick">
        <color theme="4" tint="0.39994506668294322"/>
      </left>
      <right/>
      <top style="thick">
        <color theme="4" tint="0.39994506668294322"/>
      </top>
      <bottom/>
      <diagonal/>
    </border>
    <border>
      <left/>
      <right/>
      <top style="thick">
        <color theme="4" tint="0.39994506668294322"/>
      </top>
      <bottom/>
      <diagonal/>
    </border>
    <border>
      <left/>
      <right style="thick">
        <color theme="4" tint="0.39994506668294322"/>
      </right>
      <top style="thick">
        <color theme="4" tint="0.39994506668294322"/>
      </top>
      <bottom/>
      <diagonal/>
    </border>
    <border>
      <left style="thick">
        <color theme="4" tint="0.39994506668294322"/>
      </left>
      <right/>
      <top/>
      <bottom/>
      <diagonal/>
    </border>
    <border>
      <left/>
      <right style="thick">
        <color theme="4" tint="0.39994506668294322"/>
      </right>
      <top/>
      <bottom/>
      <diagonal/>
    </border>
    <border>
      <left style="thick">
        <color theme="4" tint="0.39994506668294322"/>
      </left>
      <right/>
      <top/>
      <bottom style="thick">
        <color theme="4" tint="0.39994506668294322"/>
      </bottom>
      <diagonal/>
    </border>
    <border>
      <left/>
      <right/>
      <top/>
      <bottom style="thick">
        <color theme="4" tint="0.39994506668294322"/>
      </bottom>
      <diagonal/>
    </border>
    <border>
      <left/>
      <right style="thick">
        <color theme="4" tint="0.39994506668294322"/>
      </right>
      <top/>
      <bottom style="thick">
        <color theme="4" tint="0.39994506668294322"/>
      </bottom>
      <diagonal/>
    </border>
    <border>
      <left style="thick">
        <color theme="4" tint="0.39991454817346722"/>
      </left>
      <right/>
      <top/>
      <bottom/>
      <diagonal/>
    </border>
    <border>
      <left style="thick">
        <color theme="4" tint="0.39991454817346722"/>
      </left>
      <right/>
      <top/>
      <bottom style="thick">
        <color theme="4" tint="0.39994506668294322"/>
      </bottom>
      <diagonal/>
    </border>
    <border>
      <left style="thick">
        <color theme="2" tint="-0.24994659260841701"/>
      </left>
      <right/>
      <top style="thick">
        <color theme="2" tint="-0.24994659260841701"/>
      </top>
      <bottom/>
      <diagonal/>
    </border>
    <border>
      <left/>
      <right/>
      <top style="thick">
        <color theme="2" tint="-0.24994659260841701"/>
      </top>
      <bottom/>
      <diagonal/>
    </border>
    <border>
      <left/>
      <right style="thick">
        <color theme="2" tint="-0.24994659260841701"/>
      </right>
      <top style="thick">
        <color theme="2" tint="-0.24994659260841701"/>
      </top>
      <bottom/>
      <diagonal/>
    </border>
    <border>
      <left style="thick">
        <color theme="2" tint="-0.24994659260841701"/>
      </left>
      <right/>
      <top/>
      <bottom/>
      <diagonal/>
    </border>
    <border>
      <left/>
      <right style="thick">
        <color theme="2" tint="-0.24994659260841701"/>
      </right>
      <top/>
      <bottom/>
      <diagonal/>
    </border>
    <border>
      <left style="thick">
        <color theme="2" tint="-0.24994659260841701"/>
      </left>
      <right/>
      <top/>
      <bottom style="thick">
        <color theme="2" tint="-0.24994659260841701"/>
      </bottom>
      <diagonal/>
    </border>
    <border>
      <left/>
      <right/>
      <top/>
      <bottom style="thick">
        <color theme="2" tint="-0.24994659260841701"/>
      </bottom>
      <diagonal/>
    </border>
    <border>
      <left/>
      <right style="thick">
        <color theme="2" tint="-0.24994659260841701"/>
      </right>
      <top/>
      <bottom style="thick">
        <color theme="2" tint="-0.24994659260841701"/>
      </bottom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/>
      <bottom/>
      <diagonal/>
    </border>
    <border>
      <left/>
      <right style="thick">
        <color rgb="FFC00000"/>
      </right>
      <top/>
      <bottom/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/>
    </xf>
    <xf numFmtId="12" fontId="0" fillId="0" borderId="0" xfId="0" applyNumberFormat="1" applyAlignment="1">
      <alignment horizontal="center" vertical="center"/>
    </xf>
    <xf numFmtId="3" fontId="0" fillId="0" borderId="0" xfId="0" applyNumberFormat="1" applyAlignment="1">
      <alignment vertical="center"/>
    </xf>
    <xf numFmtId="9" fontId="0" fillId="0" borderId="0" xfId="1" applyFont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164" fontId="0" fillId="6" borderId="23" xfId="0" applyNumberFormat="1" applyFill="1" applyBorder="1" applyAlignment="1">
      <alignment horizontal="center" vertical="center"/>
    </xf>
    <xf numFmtId="9" fontId="0" fillId="6" borderId="15" xfId="1" applyFont="1" applyFill="1" applyBorder="1" applyAlignment="1">
      <alignment horizontal="center" vertical="center"/>
    </xf>
    <xf numFmtId="0" fontId="0" fillId="6" borderId="24" xfId="0" applyNumberFormat="1" applyFill="1" applyBorder="1" applyAlignment="1">
      <alignment horizontal="center" vertical="center"/>
    </xf>
    <xf numFmtId="9" fontId="0" fillId="6" borderId="6" xfId="1" applyFont="1" applyFill="1" applyBorder="1" applyAlignment="1">
      <alignment horizontal="center" vertical="center"/>
    </xf>
    <xf numFmtId="0" fontId="0" fillId="6" borderId="22" xfId="0" applyNumberFormat="1" applyFill="1" applyBorder="1" applyAlignment="1">
      <alignment horizontal="center" vertical="center"/>
    </xf>
    <xf numFmtId="9" fontId="0" fillId="6" borderId="10" xfId="1" applyFont="1" applyFill="1" applyBorder="1" applyAlignment="1">
      <alignment horizontal="center" vertical="center"/>
    </xf>
    <xf numFmtId="12" fontId="0" fillId="0" borderId="0" xfId="0" applyNumberFormat="1" applyFill="1" applyBorder="1" applyAlignment="1">
      <alignment horizontal="center" vertical="center"/>
    </xf>
    <xf numFmtId="164" fontId="0" fillId="0" borderId="0" xfId="0" applyNumberFormat="1"/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4" fillId="7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6" borderId="36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49" fontId="0" fillId="6" borderId="37" xfId="0" applyNumberFormat="1" applyFill="1" applyBorder="1" applyAlignment="1">
      <alignment horizontal="center" vertical="center"/>
    </xf>
    <xf numFmtId="49" fontId="0" fillId="6" borderId="6" xfId="0" applyNumberFormat="1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165" fontId="0" fillId="6" borderId="6" xfId="0" applyNumberFormat="1" applyFill="1" applyBorder="1" applyAlignment="1">
      <alignment horizontal="center" vertical="center"/>
    </xf>
    <xf numFmtId="12" fontId="0" fillId="0" borderId="39" xfId="0" applyNumberFormat="1" applyFill="1" applyBorder="1" applyAlignment="1">
      <alignment horizontal="center" vertical="center"/>
    </xf>
    <xf numFmtId="12" fontId="0" fillId="0" borderId="40" xfId="0" applyNumberFormat="1" applyFill="1" applyBorder="1" applyAlignment="1">
      <alignment horizontal="center" vertical="center"/>
    </xf>
    <xf numFmtId="12" fontId="0" fillId="0" borderId="41" xfId="0" applyNumberForma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 wrapText="1"/>
    </xf>
    <xf numFmtId="164" fontId="0" fillId="6" borderId="12" xfId="0" applyNumberFormat="1" applyFill="1" applyBorder="1" applyAlignment="1">
      <alignment horizontal="center" vertical="center"/>
    </xf>
    <xf numFmtId="164" fontId="0" fillId="6" borderId="15" xfId="0" applyNumberFormat="1" applyFill="1" applyBorder="1" applyAlignment="1">
      <alignment horizontal="center" vertical="center"/>
    </xf>
    <xf numFmtId="164" fontId="0" fillId="6" borderId="5" xfId="0" applyNumberFormat="1" applyFill="1" applyBorder="1" applyAlignment="1">
      <alignment horizontal="center" vertical="center"/>
    </xf>
    <xf numFmtId="164" fontId="0" fillId="6" borderId="6" xfId="0" applyNumberFormat="1" applyFill="1" applyBorder="1" applyAlignment="1">
      <alignment horizontal="center" vertical="center"/>
    </xf>
    <xf numFmtId="164" fontId="0" fillId="6" borderId="7" xfId="0" applyNumberForma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 wrapText="1"/>
    </xf>
    <xf numFmtId="166" fontId="0" fillId="6" borderId="6" xfId="0" applyNumberFormat="1" applyFill="1" applyBorder="1" applyAlignment="1">
      <alignment horizontal="center" vertical="center"/>
    </xf>
    <xf numFmtId="165" fontId="0" fillId="6" borderId="10" xfId="0" applyNumberFormat="1" applyFill="1" applyBorder="1" applyAlignment="1">
      <alignment horizontal="center" vertical="center"/>
    </xf>
    <xf numFmtId="166" fontId="0" fillId="6" borderId="10" xfId="0" applyNumberFormat="1" applyFill="1" applyBorder="1" applyAlignment="1">
      <alignment horizontal="center" vertical="center"/>
    </xf>
    <xf numFmtId="0" fontId="4" fillId="7" borderId="41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7" borderId="42" xfId="0" applyFont="1" applyFill="1" applyBorder="1" applyAlignment="1">
      <alignment horizontal="center" vertical="center"/>
    </xf>
    <xf numFmtId="9" fontId="6" fillId="11" borderId="43" xfId="1" applyFont="1" applyFill="1" applyBorder="1" applyAlignment="1">
      <alignment horizontal="center" vertical="center"/>
    </xf>
    <xf numFmtId="0" fontId="6" fillId="11" borderId="43" xfId="0" applyFont="1" applyFill="1" applyBorder="1" applyAlignment="1">
      <alignment horizontal="center" vertical="center"/>
    </xf>
    <xf numFmtId="0" fontId="6" fillId="11" borderId="42" xfId="0" applyFont="1" applyFill="1" applyBorder="1" applyAlignment="1">
      <alignment horizontal="center" vertical="center"/>
    </xf>
    <xf numFmtId="9" fontId="2" fillId="9" borderId="25" xfId="1" applyFont="1" applyFill="1" applyBorder="1" applyAlignment="1">
      <alignment horizontal="center" vertical="center" wrapText="1"/>
    </xf>
    <xf numFmtId="9" fontId="2" fillId="9" borderId="10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2" fontId="2" fillId="3" borderId="28" xfId="0" applyNumberFormat="1" applyFont="1" applyFill="1" applyBorder="1" applyAlignment="1">
      <alignment horizontal="center" vertical="center" wrapText="1"/>
    </xf>
    <xf numFmtId="12" fontId="2" fillId="3" borderId="38" xfId="0" applyNumberFormat="1" applyFont="1" applyFill="1" applyBorder="1" applyAlignment="1">
      <alignment horizontal="center" vertical="center" wrapText="1"/>
    </xf>
    <xf numFmtId="14" fontId="2" fillId="3" borderId="4" xfId="0" applyNumberFormat="1" applyFont="1" applyFill="1" applyBorder="1" applyAlignment="1">
      <alignment horizontal="center" vertical="center"/>
    </xf>
    <xf numFmtId="14" fontId="2" fillId="3" borderId="17" xfId="0" applyNumberFormat="1" applyFont="1" applyFill="1" applyBorder="1" applyAlignment="1">
      <alignment horizontal="center" vertical="center"/>
    </xf>
    <xf numFmtId="3" fontId="2" fillId="3" borderId="16" xfId="0" applyNumberFormat="1" applyFont="1" applyFill="1" applyBorder="1" applyAlignment="1">
      <alignment horizontal="center" vertical="center"/>
    </xf>
    <xf numFmtId="3" fontId="2" fillId="3" borderId="18" xfId="0" applyNumberFormat="1" applyFont="1" applyFill="1" applyBorder="1" applyAlignment="1">
      <alignment horizontal="center" vertical="center"/>
    </xf>
    <xf numFmtId="0" fontId="2" fillId="10" borderId="21" xfId="0" applyNumberFormat="1" applyFont="1" applyFill="1" applyBorder="1" applyAlignment="1">
      <alignment horizontal="center" vertical="center" wrapText="1"/>
    </xf>
    <xf numFmtId="0" fontId="2" fillId="10" borderId="22" xfId="0" applyNumberFormat="1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17" borderId="0" xfId="0" applyFont="1" applyFill="1" applyAlignment="1">
      <alignment horizontal="center" wrapText="1"/>
    </xf>
    <xf numFmtId="0" fontId="7" fillId="16" borderId="0" xfId="0" applyFont="1" applyFill="1" applyAlignment="1">
      <alignment horizontal="center"/>
    </xf>
    <xf numFmtId="0" fontId="7" fillId="16" borderId="0" xfId="0" applyFont="1" applyFill="1" applyAlignment="1">
      <alignment horizontal="center" wrapText="1"/>
    </xf>
    <xf numFmtId="0" fontId="0" fillId="0" borderId="0" xfId="0" applyFill="1"/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0" fillId="0" borderId="0" xfId="0" applyBorder="1"/>
    <xf numFmtId="9" fontId="0" fillId="0" borderId="0" xfId="0" applyNumberFormat="1" applyBorder="1"/>
    <xf numFmtId="0" fontId="0" fillId="0" borderId="0" xfId="0" applyBorder="1" applyAlignment="1">
      <alignment horizontal="right"/>
    </xf>
    <xf numFmtId="0" fontId="0" fillId="13" borderId="0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14" borderId="0" xfId="0" applyFill="1" applyBorder="1"/>
    <xf numFmtId="0" fontId="0" fillId="7" borderId="0" xfId="0" applyFill="1" applyBorder="1"/>
    <xf numFmtId="0" fontId="0" fillId="5" borderId="0" xfId="0" applyFill="1" applyBorder="1"/>
    <xf numFmtId="0" fontId="0" fillId="11" borderId="0" xfId="0" applyFill="1" applyBorder="1"/>
    <xf numFmtId="164" fontId="0" fillId="0" borderId="0" xfId="0" applyNumberFormat="1" applyBorder="1"/>
    <xf numFmtId="164" fontId="0" fillId="0" borderId="0" xfId="0" applyNumberFormat="1" applyBorder="1" applyAlignment="1">
      <alignment horizontal="right"/>
    </xf>
    <xf numFmtId="0" fontId="2" fillId="12" borderId="44" xfId="0" applyFont="1" applyFill="1" applyBorder="1" applyAlignment="1">
      <alignment horizontal="center"/>
    </xf>
    <xf numFmtId="0" fontId="2" fillId="12" borderId="45" xfId="0" applyFont="1" applyFill="1" applyBorder="1" applyAlignment="1">
      <alignment horizontal="center"/>
    </xf>
    <xf numFmtId="0" fontId="0" fillId="0" borderId="45" xfId="0" applyBorder="1"/>
    <xf numFmtId="0" fontId="2" fillId="12" borderId="46" xfId="0" applyFont="1" applyFill="1" applyBorder="1" applyAlignment="1">
      <alignment horizontal="center"/>
    </xf>
    <xf numFmtId="0" fontId="0" fillId="0" borderId="47" xfId="0" applyBorder="1"/>
    <xf numFmtId="9" fontId="0" fillId="0" borderId="48" xfId="0" applyNumberFormat="1" applyBorder="1"/>
    <xf numFmtId="0" fontId="0" fillId="0" borderId="47" xfId="0" applyBorder="1" applyAlignment="1">
      <alignment horizontal="right"/>
    </xf>
    <xf numFmtId="12" fontId="0" fillId="0" borderId="48" xfId="0" applyNumberFormat="1" applyFill="1" applyBorder="1" applyAlignment="1">
      <alignment horizontal="center" vertical="center"/>
    </xf>
    <xf numFmtId="0" fontId="0" fillId="13" borderId="47" xfId="0" applyFill="1" applyBorder="1" applyAlignment="1">
      <alignment horizontal="center"/>
    </xf>
    <xf numFmtId="0" fontId="0" fillId="9" borderId="48" xfId="0" applyFill="1" applyBorder="1" applyAlignment="1">
      <alignment horizontal="center"/>
    </xf>
    <xf numFmtId="0" fontId="0" fillId="11" borderId="47" xfId="0" applyFill="1" applyBorder="1"/>
    <xf numFmtId="0" fontId="0" fillId="5" borderId="48" xfId="0" applyFill="1" applyBorder="1"/>
    <xf numFmtId="164" fontId="0" fillId="0" borderId="47" xfId="0" applyNumberFormat="1" applyBorder="1"/>
    <xf numFmtId="164" fontId="0" fillId="0" borderId="48" xfId="0" applyNumberFormat="1" applyBorder="1"/>
    <xf numFmtId="164" fontId="0" fillId="0" borderId="49" xfId="0" applyNumberFormat="1" applyBorder="1"/>
    <xf numFmtId="164" fontId="0" fillId="0" borderId="50" xfId="0" applyNumberFormat="1" applyBorder="1"/>
    <xf numFmtId="164" fontId="0" fillId="0" borderId="50" xfId="0" applyNumberFormat="1" applyBorder="1" applyAlignment="1">
      <alignment horizontal="right"/>
    </xf>
    <xf numFmtId="0" fontId="0" fillId="0" borderId="50" xfId="0" applyBorder="1"/>
    <xf numFmtId="164" fontId="0" fillId="0" borderId="51" xfId="0" applyNumberFormat="1" applyBorder="1"/>
    <xf numFmtId="0" fontId="0" fillId="0" borderId="0" xfId="0" applyBorder="1" applyAlignment="1"/>
    <xf numFmtId="0" fontId="0" fillId="15" borderId="0" xfId="0" applyFill="1" applyBorder="1" applyAlignment="1">
      <alignment horizontal="center" wrapText="1"/>
    </xf>
    <xf numFmtId="0" fontId="0" fillId="0" borderId="52" xfId="0" applyBorder="1" applyAlignment="1">
      <alignment horizontal="right"/>
    </xf>
    <xf numFmtId="0" fontId="0" fillId="9" borderId="52" xfId="0" applyFill="1" applyBorder="1" applyAlignment="1">
      <alignment horizontal="center"/>
    </xf>
    <xf numFmtId="0" fontId="0" fillId="7" borderId="52" xfId="0" applyFill="1" applyBorder="1"/>
    <xf numFmtId="164" fontId="0" fillId="0" borderId="52" xfId="0" applyNumberFormat="1" applyBorder="1"/>
    <xf numFmtId="164" fontId="0" fillId="0" borderId="52" xfId="0" applyNumberFormat="1" applyBorder="1" applyAlignment="1">
      <alignment horizontal="right"/>
    </xf>
    <xf numFmtId="164" fontId="0" fillId="0" borderId="53" xfId="0" applyNumberFormat="1" applyBorder="1" applyAlignment="1">
      <alignment horizontal="right"/>
    </xf>
    <xf numFmtId="9" fontId="0" fillId="0" borderId="0" xfId="0" applyNumberFormat="1" applyBorder="1" applyAlignment="1"/>
    <xf numFmtId="0" fontId="2" fillId="22" borderId="54" xfId="0" applyFont="1" applyFill="1" applyBorder="1" applyAlignment="1">
      <alignment horizontal="center"/>
    </xf>
    <xf numFmtId="0" fontId="2" fillId="22" borderId="55" xfId="0" applyFont="1" applyFill="1" applyBorder="1" applyAlignment="1">
      <alignment horizontal="center"/>
    </xf>
    <xf numFmtId="0" fontId="0" fillId="0" borderId="55" xfId="0" applyBorder="1"/>
    <xf numFmtId="0" fontId="2" fillId="22" borderId="56" xfId="0" applyFont="1" applyFill="1" applyBorder="1" applyAlignment="1">
      <alignment horizontal="center"/>
    </xf>
    <xf numFmtId="0" fontId="0" fillId="0" borderId="57" xfId="0" applyBorder="1"/>
    <xf numFmtId="9" fontId="0" fillId="0" borderId="58" xfId="0" applyNumberFormat="1" applyBorder="1"/>
    <xf numFmtId="0" fontId="0" fillId="0" borderId="57" xfId="0" applyBorder="1" applyAlignment="1">
      <alignment horizontal="right"/>
    </xf>
    <xf numFmtId="12" fontId="0" fillId="0" borderId="58" xfId="0" applyNumberFormat="1" applyFill="1" applyBorder="1" applyAlignment="1">
      <alignment horizontal="center" vertical="center"/>
    </xf>
    <xf numFmtId="0" fontId="0" fillId="13" borderId="57" xfId="0" applyFill="1" applyBorder="1" applyAlignment="1">
      <alignment horizontal="center"/>
    </xf>
    <xf numFmtId="0" fontId="0" fillId="9" borderId="58" xfId="0" applyFill="1" applyBorder="1" applyAlignment="1">
      <alignment horizontal="center"/>
    </xf>
    <xf numFmtId="0" fontId="0" fillId="11" borderId="57" xfId="0" applyFill="1" applyBorder="1"/>
    <xf numFmtId="0" fontId="0" fillId="5" borderId="58" xfId="0" applyFill="1" applyBorder="1"/>
    <xf numFmtId="164" fontId="0" fillId="0" borderId="57" xfId="0" applyNumberFormat="1" applyBorder="1"/>
    <xf numFmtId="164" fontId="0" fillId="0" borderId="58" xfId="0" applyNumberFormat="1" applyBorder="1"/>
    <xf numFmtId="164" fontId="0" fillId="0" borderId="59" xfId="0" applyNumberFormat="1" applyBorder="1"/>
    <xf numFmtId="164" fontId="0" fillId="0" borderId="60" xfId="0" applyNumberFormat="1" applyBorder="1"/>
    <xf numFmtId="0" fontId="0" fillId="0" borderId="60" xfId="0" applyBorder="1"/>
    <xf numFmtId="164" fontId="0" fillId="0" borderId="61" xfId="0" applyNumberFormat="1" applyBorder="1"/>
    <xf numFmtId="0" fontId="0" fillId="0" borderId="63" xfId="0" applyBorder="1" applyAlignment="1">
      <alignment horizontal="right"/>
    </xf>
    <xf numFmtId="0" fontId="0" fillId="9" borderId="63" xfId="0" applyFill="1" applyBorder="1" applyAlignment="1">
      <alignment horizontal="center"/>
    </xf>
    <xf numFmtId="0" fontId="0" fillId="7" borderId="63" xfId="0" applyFill="1" applyBorder="1"/>
    <xf numFmtId="164" fontId="0" fillId="0" borderId="63" xfId="0" applyNumberFormat="1" applyBorder="1"/>
    <xf numFmtId="164" fontId="0" fillId="0" borderId="62" xfId="0" applyNumberFormat="1" applyBorder="1"/>
    <xf numFmtId="0" fontId="7" fillId="18" borderId="64" xfId="0" applyFont="1" applyFill="1" applyBorder="1" applyAlignment="1">
      <alignment horizontal="center"/>
    </xf>
    <xf numFmtId="0" fontId="7" fillId="18" borderId="65" xfId="0" applyFont="1" applyFill="1" applyBorder="1" applyAlignment="1">
      <alignment horizontal="center"/>
    </xf>
    <xf numFmtId="0" fontId="7" fillId="18" borderId="66" xfId="0" applyFont="1" applyFill="1" applyBorder="1" applyAlignment="1">
      <alignment horizontal="center"/>
    </xf>
    <xf numFmtId="0" fontId="0" fillId="0" borderId="67" xfId="0" applyBorder="1"/>
    <xf numFmtId="9" fontId="0" fillId="0" borderId="68" xfId="0" applyNumberFormat="1" applyBorder="1"/>
    <xf numFmtId="0" fontId="0" fillId="0" borderId="67" xfId="0" applyBorder="1" applyAlignment="1">
      <alignment horizontal="right"/>
    </xf>
    <xf numFmtId="12" fontId="0" fillId="0" borderId="68" xfId="0" applyNumberFormat="1" applyFill="1" applyBorder="1" applyAlignment="1">
      <alignment horizontal="center" vertical="center"/>
    </xf>
    <xf numFmtId="0" fontId="0" fillId="13" borderId="67" xfId="0" applyFill="1" applyBorder="1" applyAlignment="1">
      <alignment horizontal="center"/>
    </xf>
    <xf numFmtId="0" fontId="0" fillId="9" borderId="68" xfId="0" applyFill="1" applyBorder="1" applyAlignment="1">
      <alignment horizontal="center"/>
    </xf>
    <xf numFmtId="0" fontId="0" fillId="11" borderId="67" xfId="0" applyFill="1" applyBorder="1"/>
    <xf numFmtId="0" fontId="0" fillId="5" borderId="68" xfId="0" applyFill="1" applyBorder="1"/>
    <xf numFmtId="164" fontId="0" fillId="0" borderId="67" xfId="0" applyNumberFormat="1" applyBorder="1"/>
    <xf numFmtId="164" fontId="0" fillId="0" borderId="68" xfId="0" applyNumberFormat="1" applyBorder="1"/>
    <xf numFmtId="164" fontId="0" fillId="0" borderId="69" xfId="0" applyNumberFormat="1" applyBorder="1"/>
    <xf numFmtId="164" fontId="0" fillId="0" borderId="70" xfId="0" applyNumberFormat="1" applyBorder="1"/>
    <xf numFmtId="164" fontId="0" fillId="0" borderId="71" xfId="0" applyNumberFormat="1" applyBorder="1"/>
    <xf numFmtId="0" fontId="0" fillId="9" borderId="67" xfId="0" applyFill="1" applyBorder="1" applyAlignment="1">
      <alignment horizontal="center"/>
    </xf>
    <xf numFmtId="0" fontId="0" fillId="7" borderId="67" xfId="0" applyFill="1" applyBorder="1"/>
    <xf numFmtId="164" fontId="0" fillId="0" borderId="67" xfId="0" applyNumberFormat="1" applyBorder="1" applyAlignment="1">
      <alignment horizontal="right"/>
    </xf>
    <xf numFmtId="164" fontId="0" fillId="0" borderId="69" xfId="0" applyNumberFormat="1" applyBorder="1" applyAlignment="1">
      <alignment horizontal="right"/>
    </xf>
    <xf numFmtId="0" fontId="4" fillId="24" borderId="72" xfId="0" applyFont="1" applyFill="1" applyBorder="1" applyAlignment="1">
      <alignment horizontal="center"/>
    </xf>
    <xf numFmtId="0" fontId="4" fillId="24" borderId="73" xfId="0" applyFont="1" applyFill="1" applyBorder="1" applyAlignment="1">
      <alignment horizontal="center"/>
    </xf>
    <xf numFmtId="0" fontId="4" fillId="24" borderId="74" xfId="0" applyFont="1" applyFill="1" applyBorder="1" applyAlignment="1">
      <alignment horizontal="center"/>
    </xf>
    <xf numFmtId="0" fontId="0" fillId="0" borderId="75" xfId="0" applyBorder="1"/>
    <xf numFmtId="9" fontId="0" fillId="0" borderId="76" xfId="0" applyNumberFormat="1" applyBorder="1"/>
    <xf numFmtId="0" fontId="0" fillId="0" borderId="75" xfId="0" applyBorder="1" applyAlignment="1">
      <alignment horizontal="right"/>
    </xf>
    <xf numFmtId="12" fontId="0" fillId="0" borderId="76" xfId="0" applyNumberFormat="1" applyFill="1" applyBorder="1" applyAlignment="1">
      <alignment horizontal="center" vertical="center"/>
    </xf>
    <xf numFmtId="0" fontId="0" fillId="13" borderId="75" xfId="0" applyFill="1" applyBorder="1" applyAlignment="1">
      <alignment horizontal="center"/>
    </xf>
    <xf numFmtId="0" fontId="0" fillId="9" borderId="76" xfId="0" applyFill="1" applyBorder="1" applyAlignment="1">
      <alignment horizontal="center"/>
    </xf>
    <xf numFmtId="0" fontId="0" fillId="11" borderId="75" xfId="0" applyFill="1" applyBorder="1"/>
    <xf numFmtId="0" fontId="0" fillId="5" borderId="76" xfId="0" applyFill="1" applyBorder="1"/>
    <xf numFmtId="164" fontId="0" fillId="0" borderId="75" xfId="0" applyNumberFormat="1" applyBorder="1"/>
    <xf numFmtId="164" fontId="0" fillId="0" borderId="76" xfId="0" applyNumberFormat="1" applyBorder="1"/>
    <xf numFmtId="164" fontId="0" fillId="0" borderId="77" xfId="0" applyNumberFormat="1" applyBorder="1"/>
    <xf numFmtId="164" fontId="0" fillId="0" borderId="78" xfId="0" applyNumberFormat="1" applyBorder="1"/>
    <xf numFmtId="164" fontId="0" fillId="0" borderId="79" xfId="0" applyNumberFormat="1" applyBorder="1"/>
    <xf numFmtId="0" fontId="0" fillId="0" borderId="80" xfId="0" applyBorder="1" applyAlignment="1">
      <alignment horizontal="right"/>
    </xf>
    <xf numFmtId="0" fontId="0" fillId="9" borderId="80" xfId="0" applyFill="1" applyBorder="1" applyAlignment="1">
      <alignment horizontal="center"/>
    </xf>
    <xf numFmtId="0" fontId="0" fillId="7" borderId="80" xfId="0" applyFill="1" applyBorder="1"/>
    <xf numFmtId="164" fontId="0" fillId="0" borderId="80" xfId="0" applyNumberFormat="1" applyBorder="1"/>
    <xf numFmtId="164" fontId="0" fillId="0" borderId="81" xfId="0" applyNumberFormat="1" applyBorder="1"/>
    <xf numFmtId="0" fontId="2" fillId="23" borderId="82" xfId="0" applyFont="1" applyFill="1" applyBorder="1" applyAlignment="1">
      <alignment horizontal="center"/>
    </xf>
    <xf numFmtId="0" fontId="2" fillId="23" borderId="83" xfId="0" applyFont="1" applyFill="1" applyBorder="1" applyAlignment="1">
      <alignment horizontal="center"/>
    </xf>
    <xf numFmtId="0" fontId="2" fillId="23" borderId="84" xfId="0" applyFont="1" applyFill="1" applyBorder="1" applyAlignment="1">
      <alignment horizontal="center"/>
    </xf>
    <xf numFmtId="0" fontId="0" fillId="0" borderId="85" xfId="0" applyBorder="1"/>
    <xf numFmtId="9" fontId="0" fillId="0" borderId="86" xfId="0" applyNumberFormat="1" applyBorder="1"/>
    <xf numFmtId="0" fontId="0" fillId="0" borderId="85" xfId="0" applyBorder="1" applyAlignment="1">
      <alignment horizontal="right"/>
    </xf>
    <xf numFmtId="12" fontId="0" fillId="0" borderId="86" xfId="0" applyNumberFormat="1" applyFill="1" applyBorder="1" applyAlignment="1">
      <alignment horizontal="center" vertical="center"/>
    </xf>
    <xf numFmtId="0" fontId="0" fillId="13" borderId="85" xfId="0" applyFill="1" applyBorder="1" applyAlignment="1">
      <alignment horizontal="center"/>
    </xf>
    <xf numFmtId="0" fontId="0" fillId="9" borderId="86" xfId="0" applyFill="1" applyBorder="1" applyAlignment="1">
      <alignment horizontal="center"/>
    </xf>
    <xf numFmtId="0" fontId="0" fillId="11" borderId="85" xfId="0" applyFill="1" applyBorder="1"/>
    <xf numFmtId="0" fontId="0" fillId="5" borderId="86" xfId="0" applyFill="1" applyBorder="1"/>
    <xf numFmtId="164" fontId="0" fillId="0" borderId="85" xfId="0" applyNumberFormat="1" applyBorder="1"/>
    <xf numFmtId="164" fontId="0" fillId="0" borderId="86" xfId="0" applyNumberFormat="1" applyBorder="1"/>
    <xf numFmtId="164" fontId="0" fillId="0" borderId="87" xfId="0" applyNumberFormat="1" applyBorder="1"/>
    <xf numFmtId="164" fontId="0" fillId="0" borderId="88" xfId="0" applyNumberFormat="1" applyBorder="1"/>
    <xf numFmtId="164" fontId="0" fillId="0" borderId="89" xfId="0" applyNumberFormat="1" applyBorder="1"/>
    <xf numFmtId="0" fontId="0" fillId="9" borderId="85" xfId="0" applyFill="1" applyBorder="1" applyAlignment="1">
      <alignment horizontal="center"/>
    </xf>
    <xf numFmtId="0" fontId="0" fillId="7" borderId="85" xfId="0" applyFill="1" applyBorder="1"/>
    <xf numFmtId="0" fontId="7" fillId="19" borderId="90" xfId="0" applyFont="1" applyFill="1" applyBorder="1" applyAlignment="1">
      <alignment horizontal="center"/>
    </xf>
    <xf numFmtId="0" fontId="7" fillId="19" borderId="91" xfId="0" applyFont="1" applyFill="1" applyBorder="1" applyAlignment="1">
      <alignment horizontal="center"/>
    </xf>
    <xf numFmtId="0" fontId="7" fillId="19" borderId="92" xfId="0" applyFont="1" applyFill="1" applyBorder="1" applyAlignment="1">
      <alignment horizontal="center"/>
    </xf>
    <xf numFmtId="0" fontId="0" fillId="0" borderId="93" xfId="0" applyBorder="1"/>
    <xf numFmtId="9" fontId="0" fillId="0" borderId="94" xfId="0" applyNumberFormat="1" applyBorder="1"/>
    <xf numFmtId="0" fontId="0" fillId="0" borderId="93" xfId="0" applyBorder="1" applyAlignment="1">
      <alignment horizontal="right"/>
    </xf>
    <xf numFmtId="12" fontId="0" fillId="0" borderId="94" xfId="0" applyNumberFormat="1" applyFill="1" applyBorder="1" applyAlignment="1">
      <alignment horizontal="center" vertical="center"/>
    </xf>
    <xf numFmtId="0" fontId="0" fillId="13" borderId="93" xfId="0" applyFill="1" applyBorder="1" applyAlignment="1">
      <alignment horizontal="center"/>
    </xf>
    <xf numFmtId="0" fontId="0" fillId="9" borderId="94" xfId="0" applyFill="1" applyBorder="1" applyAlignment="1">
      <alignment horizontal="center"/>
    </xf>
    <xf numFmtId="0" fontId="0" fillId="11" borderId="93" xfId="0" applyFill="1" applyBorder="1"/>
    <xf numFmtId="0" fontId="0" fillId="20" borderId="94" xfId="0" applyFill="1" applyBorder="1"/>
    <xf numFmtId="164" fontId="0" fillId="0" borderId="93" xfId="0" applyNumberFormat="1" applyBorder="1"/>
    <xf numFmtId="9" fontId="0" fillId="0" borderId="94" xfId="1" applyFont="1" applyBorder="1"/>
    <xf numFmtId="164" fontId="0" fillId="0" borderId="95" xfId="0" applyNumberFormat="1" applyBorder="1"/>
    <xf numFmtId="164" fontId="0" fillId="0" borderId="96" xfId="0" applyNumberFormat="1" applyBorder="1"/>
    <xf numFmtId="164" fontId="0" fillId="0" borderId="96" xfId="0" applyNumberFormat="1" applyBorder="1" applyAlignment="1">
      <alignment horizontal="right"/>
    </xf>
    <xf numFmtId="9" fontId="0" fillId="0" borderId="97" xfId="1" applyFont="1" applyBorder="1"/>
    <xf numFmtId="0" fontId="0" fillId="21" borderId="0" xfId="0" applyFill="1" applyBorder="1" applyAlignment="1">
      <alignment horizontal="center" wrapText="1"/>
    </xf>
    <xf numFmtId="0" fontId="0" fillId="0" borderId="93" xfId="0" applyBorder="1" applyAlignment="1"/>
    <xf numFmtId="0" fontId="0" fillId="9" borderId="93" xfId="0" applyFill="1" applyBorder="1" applyAlignment="1">
      <alignment horizontal="center"/>
    </xf>
    <xf numFmtId="0" fontId="0" fillId="20" borderId="93" xfId="0" applyFill="1" applyBorder="1"/>
    <xf numFmtId="12" fontId="0" fillId="0" borderId="93" xfId="0" applyNumberFormat="1" applyFill="1" applyBorder="1" applyAlignment="1">
      <alignment horizontal="center" vertical="center"/>
    </xf>
    <xf numFmtId="12" fontId="0" fillId="0" borderId="95" xfId="0" applyNumberForma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C9BA6-AAFB-4334-B3C2-081093439C0A}">
  <sheetPr>
    <pageSetUpPr fitToPage="1"/>
  </sheetPr>
  <dimension ref="A1:P30"/>
  <sheetViews>
    <sheetView zoomScaleNormal="100" workbookViewId="0">
      <selection activeCell="P7" sqref="P7"/>
    </sheetView>
  </sheetViews>
  <sheetFormatPr baseColWidth="10" defaultRowHeight="14.25" x14ac:dyDescent="0.45"/>
  <cols>
    <col min="1" max="1" width="12.59765625" style="11" customWidth="1"/>
    <col min="2" max="2" width="12.59765625" style="18" customWidth="1"/>
    <col min="3" max="6" width="7.59765625" style="1" customWidth="1"/>
    <col min="7" max="7" width="7.19921875" style="1" bestFit="1" customWidth="1"/>
    <col min="8" max="9" width="7.59765625" style="1" customWidth="1"/>
    <col min="10" max="13" width="8.59765625" style="1" customWidth="1"/>
    <col min="14" max="14" width="10.59765625" style="17" customWidth="1"/>
    <col min="15" max="15" width="10.59765625" style="16" customWidth="1"/>
    <col min="16" max="16" width="10.59765625" style="19" customWidth="1"/>
  </cols>
  <sheetData>
    <row r="1" spans="1:16" ht="18" x14ac:dyDescent="0.45">
      <c r="A1" s="75" t="s">
        <v>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4.65" thickBot="1" x14ac:dyDescent="0.5"/>
    <row r="3" spans="1:16" ht="14.25" customHeight="1" x14ac:dyDescent="0.45">
      <c r="A3" s="78" t="s">
        <v>0</v>
      </c>
      <c r="B3" s="80" t="s">
        <v>1</v>
      </c>
      <c r="C3" s="84" t="s">
        <v>8</v>
      </c>
      <c r="D3" s="85"/>
      <c r="E3" s="85"/>
      <c r="F3" s="85"/>
      <c r="G3" s="85"/>
      <c r="H3" s="85"/>
      <c r="I3" s="85"/>
      <c r="J3" s="85"/>
      <c r="K3" s="86"/>
      <c r="L3" s="87" t="s">
        <v>6</v>
      </c>
      <c r="M3" s="88"/>
      <c r="N3" s="76" t="s">
        <v>9</v>
      </c>
      <c r="O3" s="82" t="s">
        <v>7</v>
      </c>
      <c r="P3" s="73" t="s">
        <v>5</v>
      </c>
    </row>
    <row r="4" spans="1:16" ht="14.65" thickBot="1" x14ac:dyDescent="0.5">
      <c r="A4" s="79"/>
      <c r="B4" s="81"/>
      <c r="C4" s="32" t="s">
        <v>2</v>
      </c>
      <c r="D4" s="33" t="s">
        <v>17</v>
      </c>
      <c r="E4" s="34" t="s">
        <v>18</v>
      </c>
      <c r="F4" s="35" t="s">
        <v>17</v>
      </c>
      <c r="G4" s="69" t="s">
        <v>21</v>
      </c>
      <c r="H4" s="64" t="s">
        <v>3</v>
      </c>
      <c r="I4" s="37" t="s">
        <v>17</v>
      </c>
      <c r="J4" s="42" t="s">
        <v>16</v>
      </c>
      <c r="K4" s="43" t="s">
        <v>15</v>
      </c>
      <c r="L4" s="54" t="s">
        <v>20</v>
      </c>
      <c r="M4" s="60" t="s">
        <v>19</v>
      </c>
      <c r="N4" s="77"/>
      <c r="O4" s="83"/>
      <c r="P4" s="74"/>
    </row>
    <row r="5" spans="1:16" ht="18" customHeight="1" x14ac:dyDescent="0.45">
      <c r="A5" s="12">
        <v>43378</v>
      </c>
      <c r="B5" s="21">
        <v>45</v>
      </c>
      <c r="C5" s="8"/>
      <c r="D5" s="9"/>
      <c r="E5" s="10"/>
      <c r="F5" s="9"/>
      <c r="G5" s="70">
        <f>IF(ISBLANK(A5),"",IF(MONTH(A5)&gt;=5,IF(MONTH(A5)&lt;10,0.8,IF(OR(MONTH(A5)=10,AND(MONTH(A5)=11,DAY(A5)&lt;=15)),0.75,0.7)),IF(OR(MONTH(A5)=4,AND(MONTH(A5)=3,DAY(A5)&gt;=16)),0.75,0.7)))</f>
        <v>0.75</v>
      </c>
      <c r="H5" s="65"/>
      <c r="I5" s="38"/>
      <c r="J5" s="44"/>
      <c r="K5" s="45"/>
      <c r="L5" s="55" t="s">
        <v>10</v>
      </c>
      <c r="M5" s="56"/>
      <c r="N5" s="51">
        <v>0.25</v>
      </c>
      <c r="O5" s="24">
        <f>N5*70.4</f>
        <v>17.600000000000001</v>
      </c>
      <c r="P5" s="25">
        <v>0</v>
      </c>
    </row>
    <row r="6" spans="1:16" ht="18" customHeight="1" x14ac:dyDescent="0.45">
      <c r="A6" s="12">
        <v>43378</v>
      </c>
      <c r="B6" s="22">
        <v>56</v>
      </c>
      <c r="C6" s="4"/>
      <c r="D6" s="3"/>
      <c r="E6" s="36">
        <f>O6-O5</f>
        <v>52.800000000000004</v>
      </c>
      <c r="F6" s="20"/>
      <c r="G6" s="70">
        <f>IF(ISBLANK(A6),"",IF(MONTH(A6)&gt;=5,IF(MONTH(A6)&lt;10,0.8,IF(OR(MONTH(A6)=10,AND(MONTH(A6)=11,DAY(A6)&lt;=15)),0.75,0.7)),IF(OR(MONTH(A6)=4,AND(MONTH(A6)=3,DAY(A6)&gt;=16)),0.75,0.7)))</f>
        <v>0.75</v>
      </c>
      <c r="H6" s="66"/>
      <c r="I6" s="39"/>
      <c r="J6" s="46">
        <f t="shared" ref="J6:J30" si="0">C6+E6+H6</f>
        <v>52.800000000000004</v>
      </c>
      <c r="K6" s="47"/>
      <c r="L6" s="57" t="s">
        <v>10</v>
      </c>
      <c r="M6" s="58"/>
      <c r="N6" s="52">
        <v>1</v>
      </c>
      <c r="O6" s="26">
        <f t="shared" ref="O6:O30" si="1">N6*70.4</f>
        <v>70.400000000000006</v>
      </c>
      <c r="P6" s="27">
        <f>IF(ISNUMBER(A6),((C6*0+E6*0.1+H6*G6)+P5*O5)/O6,"nr")</f>
        <v>7.5000000000000011E-2</v>
      </c>
    </row>
    <row r="7" spans="1:16" ht="18" customHeight="1" x14ac:dyDescent="0.45">
      <c r="A7" s="13">
        <v>43394</v>
      </c>
      <c r="B7" s="22">
        <v>515</v>
      </c>
      <c r="C7" s="4">
        <v>43.7</v>
      </c>
      <c r="D7" s="3">
        <v>1.5529999999999999</v>
      </c>
      <c r="E7" s="2"/>
      <c r="F7" s="3"/>
      <c r="G7" s="70">
        <f>IF(ISBLANK(A7),"",IF(MONTH(A7)&gt;=5,IF(MONTH(A7)&lt;10,0.8,IF(OR(MONTH(A7)=10,AND(MONTH(A7)=11,DAY(A7)&lt;=15)),0.75,0.7)),IF(OR(MONTH(A7)=4,AND(MONTH(A7)=3,DAY(A7)&gt;=16)),0.75,0.7)))</f>
        <v>0.75</v>
      </c>
      <c r="H7" s="67">
        <v>23</v>
      </c>
      <c r="I7" s="40">
        <v>0.69899999999999995</v>
      </c>
      <c r="J7" s="48">
        <f t="shared" si="0"/>
        <v>66.7</v>
      </c>
      <c r="K7" s="50">
        <f>C7*D7+E7*F7+H7*I7</f>
        <v>83.943100000000001</v>
      </c>
      <c r="L7" s="57">
        <f>IF(ISBLANK(B7),"nr",IF(B7-B6&lt;0,"erreur",MIN(70.4,(J7-(O7-O6)))/(B7-B6)*100))</f>
        <v>14.531590413943354</v>
      </c>
      <c r="M7" s="61">
        <f>K7/(B7-B6)</f>
        <v>0.18288257080610021</v>
      </c>
      <c r="N7" s="52">
        <v>1</v>
      </c>
      <c r="O7" s="26">
        <f t="shared" si="1"/>
        <v>70.400000000000006</v>
      </c>
      <c r="P7" s="27">
        <f>IF(ISNUMBER(A7),((C7*0+E7*0.1+H7*G7)+P6*O6)/O7,"nr")</f>
        <v>0.32002840909090907</v>
      </c>
    </row>
    <row r="8" spans="1:16" ht="18" customHeight="1" x14ac:dyDescent="0.45">
      <c r="A8" s="13"/>
      <c r="B8" s="22"/>
      <c r="C8" s="4"/>
      <c r="D8" s="3"/>
      <c r="E8" s="2"/>
      <c r="F8" s="3"/>
      <c r="G8" s="71" t="str">
        <f t="shared" ref="G8:G30" si="2">IF(ISBLANK(A8),"",IF(MONTH(A8)&gt;=5,IF(MONTH(A8)&lt;10,0.8,IF(OR(MONTH(A8)=10,AND(MONTH(A8)=11,DAY(A8)&lt;=15)),0.75,0.7)),IF(OR(MONTH(A8)=4,AND(MONTH(A8)=3,DAY(A8)&gt;=16)),0.75,0.7)))</f>
        <v/>
      </c>
      <c r="H8" s="67"/>
      <c r="I8" s="40"/>
      <c r="J8" s="48">
        <f t="shared" si="0"/>
        <v>0</v>
      </c>
      <c r="K8" s="50" t="str">
        <f>IF(ISBLANK(B8),"nr",C8*D8+E8*F8+H8*I8)</f>
        <v>nr</v>
      </c>
      <c r="L8" s="57" t="str">
        <f t="shared" ref="L8" si="3">IF(ISBLANK(B8),"nr",IF(B8-B7&lt;0,"erreur",MIN(70.4,(J8-(O8-O7)))/(B8-B7)*100))</f>
        <v>nr</v>
      </c>
      <c r="M8" s="61" t="str">
        <f>IF(ISBLANK(B8),"nr",K8/(B8-B7))</f>
        <v>nr</v>
      </c>
      <c r="N8" s="52"/>
      <c r="O8" s="26">
        <f t="shared" si="1"/>
        <v>0</v>
      </c>
      <c r="P8" s="27" t="str">
        <f t="shared" ref="P8:P30" si="4">IF(ISNUMBER(A8),((C8*0+E8*0.1+H8*G8)+P7*O7)/O8,"nr")</f>
        <v>nr</v>
      </c>
    </row>
    <row r="9" spans="1:16" ht="18" customHeight="1" x14ac:dyDescent="0.45">
      <c r="A9" s="13"/>
      <c r="B9" s="22"/>
      <c r="C9" s="4"/>
      <c r="D9" s="3"/>
      <c r="E9" s="2"/>
      <c r="F9" s="3"/>
      <c r="G9" s="71" t="str">
        <f t="shared" si="2"/>
        <v/>
      </c>
      <c r="H9" s="67"/>
      <c r="I9" s="40"/>
      <c r="J9" s="48">
        <f t="shared" si="0"/>
        <v>0</v>
      </c>
      <c r="K9" s="50" t="str">
        <f t="shared" ref="K9:K30" si="5">IF(ISBLANK(B9),"nr",C9*D9+E9*F9+H9*I9)</f>
        <v>nr</v>
      </c>
      <c r="L9" s="57" t="str">
        <f t="shared" ref="L9:L29" si="6">IF(ISBLANK(B9),"nr",IF(B9-B8&lt;0,"erreur",MIN(70.4,(J9-(O9-O8)))/(B9-B8)*100))</f>
        <v>nr</v>
      </c>
      <c r="M9" s="61" t="str">
        <f t="shared" ref="M9:M29" si="7">IF(ISBLANK(B9),"nr",K9/(B9-B8))</f>
        <v>nr</v>
      </c>
      <c r="N9" s="52"/>
      <c r="O9" s="26">
        <f t="shared" si="1"/>
        <v>0</v>
      </c>
      <c r="P9" s="27" t="str">
        <f t="shared" si="4"/>
        <v>nr</v>
      </c>
    </row>
    <row r="10" spans="1:16" ht="18" customHeight="1" x14ac:dyDescent="0.45">
      <c r="A10" s="13"/>
      <c r="B10" s="22"/>
      <c r="C10" s="4"/>
      <c r="D10" s="3"/>
      <c r="E10" s="2"/>
      <c r="F10" s="3"/>
      <c r="G10" s="71" t="str">
        <f t="shared" si="2"/>
        <v/>
      </c>
      <c r="H10" s="67"/>
      <c r="I10" s="40"/>
      <c r="J10" s="48">
        <f t="shared" si="0"/>
        <v>0</v>
      </c>
      <c r="K10" s="50" t="str">
        <f t="shared" si="5"/>
        <v>nr</v>
      </c>
      <c r="L10" s="57" t="str">
        <f t="shared" si="6"/>
        <v>nr</v>
      </c>
      <c r="M10" s="61" t="str">
        <f t="shared" si="7"/>
        <v>nr</v>
      </c>
      <c r="N10" s="52"/>
      <c r="O10" s="26">
        <f t="shared" si="1"/>
        <v>0</v>
      </c>
      <c r="P10" s="27" t="str">
        <f t="shared" si="4"/>
        <v>nr</v>
      </c>
    </row>
    <row r="11" spans="1:16" ht="18" customHeight="1" x14ac:dyDescent="0.45">
      <c r="A11" s="13"/>
      <c r="B11" s="22"/>
      <c r="C11" s="4"/>
      <c r="D11" s="3"/>
      <c r="E11" s="2"/>
      <c r="F11" s="3"/>
      <c r="G11" s="71" t="str">
        <f t="shared" si="2"/>
        <v/>
      </c>
      <c r="H11" s="67"/>
      <c r="I11" s="40"/>
      <c r="J11" s="48">
        <f t="shared" si="0"/>
        <v>0</v>
      </c>
      <c r="K11" s="50" t="str">
        <f t="shared" si="5"/>
        <v>nr</v>
      </c>
      <c r="L11" s="57" t="str">
        <f t="shared" si="6"/>
        <v>nr</v>
      </c>
      <c r="M11" s="61" t="str">
        <f t="shared" si="7"/>
        <v>nr</v>
      </c>
      <c r="N11" s="52"/>
      <c r="O11" s="26">
        <f t="shared" si="1"/>
        <v>0</v>
      </c>
      <c r="P11" s="27" t="str">
        <f t="shared" si="4"/>
        <v>nr</v>
      </c>
    </row>
    <row r="12" spans="1:16" ht="18" customHeight="1" x14ac:dyDescent="0.45">
      <c r="A12" s="13"/>
      <c r="B12" s="22"/>
      <c r="C12" s="4"/>
      <c r="D12" s="3"/>
      <c r="E12" s="2"/>
      <c r="F12" s="3"/>
      <c r="G12" s="71" t="str">
        <f t="shared" si="2"/>
        <v/>
      </c>
      <c r="H12" s="67"/>
      <c r="I12" s="40"/>
      <c r="J12" s="48">
        <f t="shared" si="0"/>
        <v>0</v>
      </c>
      <c r="K12" s="50" t="str">
        <f t="shared" si="5"/>
        <v>nr</v>
      </c>
      <c r="L12" s="57" t="str">
        <f t="shared" si="6"/>
        <v>nr</v>
      </c>
      <c r="M12" s="61" t="str">
        <f t="shared" si="7"/>
        <v>nr</v>
      </c>
      <c r="N12" s="52"/>
      <c r="O12" s="26">
        <f t="shared" si="1"/>
        <v>0</v>
      </c>
      <c r="P12" s="27" t="str">
        <f t="shared" si="4"/>
        <v>nr</v>
      </c>
    </row>
    <row r="13" spans="1:16" ht="18" customHeight="1" x14ac:dyDescent="0.45">
      <c r="A13" s="13"/>
      <c r="B13" s="22"/>
      <c r="C13" s="4"/>
      <c r="D13" s="3"/>
      <c r="E13" s="2"/>
      <c r="F13" s="3"/>
      <c r="G13" s="71" t="str">
        <f t="shared" si="2"/>
        <v/>
      </c>
      <c r="H13" s="67"/>
      <c r="I13" s="40"/>
      <c r="J13" s="48">
        <f t="shared" si="0"/>
        <v>0</v>
      </c>
      <c r="K13" s="50" t="str">
        <f t="shared" si="5"/>
        <v>nr</v>
      </c>
      <c r="L13" s="57" t="str">
        <f t="shared" si="6"/>
        <v>nr</v>
      </c>
      <c r="M13" s="61" t="str">
        <f t="shared" si="7"/>
        <v>nr</v>
      </c>
      <c r="N13" s="52"/>
      <c r="O13" s="26">
        <f t="shared" si="1"/>
        <v>0</v>
      </c>
      <c r="P13" s="27" t="str">
        <f t="shared" si="4"/>
        <v>nr</v>
      </c>
    </row>
    <row r="14" spans="1:16" ht="18" customHeight="1" x14ac:dyDescent="0.45">
      <c r="A14" s="13"/>
      <c r="B14" s="22"/>
      <c r="C14" s="4"/>
      <c r="D14" s="3"/>
      <c r="E14" s="2"/>
      <c r="F14" s="3"/>
      <c r="G14" s="71" t="str">
        <f t="shared" si="2"/>
        <v/>
      </c>
      <c r="H14" s="67"/>
      <c r="I14" s="40"/>
      <c r="J14" s="48">
        <f t="shared" si="0"/>
        <v>0</v>
      </c>
      <c r="K14" s="50" t="str">
        <f t="shared" si="5"/>
        <v>nr</v>
      </c>
      <c r="L14" s="57" t="str">
        <f t="shared" si="6"/>
        <v>nr</v>
      </c>
      <c r="M14" s="61" t="str">
        <f t="shared" si="7"/>
        <v>nr</v>
      </c>
      <c r="N14" s="52"/>
      <c r="O14" s="26">
        <f t="shared" si="1"/>
        <v>0</v>
      </c>
      <c r="P14" s="27" t="str">
        <f t="shared" si="4"/>
        <v>nr</v>
      </c>
    </row>
    <row r="15" spans="1:16" ht="18" customHeight="1" x14ac:dyDescent="0.45">
      <c r="A15" s="13"/>
      <c r="B15" s="22"/>
      <c r="C15" s="4"/>
      <c r="D15" s="3"/>
      <c r="E15" s="2"/>
      <c r="F15" s="3"/>
      <c r="G15" s="71" t="str">
        <f t="shared" si="2"/>
        <v/>
      </c>
      <c r="H15" s="67"/>
      <c r="I15" s="40"/>
      <c r="J15" s="48">
        <f t="shared" si="0"/>
        <v>0</v>
      </c>
      <c r="K15" s="50" t="str">
        <f t="shared" si="5"/>
        <v>nr</v>
      </c>
      <c r="L15" s="57" t="str">
        <f t="shared" si="6"/>
        <v>nr</v>
      </c>
      <c r="M15" s="61" t="str">
        <f t="shared" si="7"/>
        <v>nr</v>
      </c>
      <c r="N15" s="52"/>
      <c r="O15" s="26">
        <f t="shared" si="1"/>
        <v>0</v>
      </c>
      <c r="P15" s="27" t="str">
        <f t="shared" si="4"/>
        <v>nr</v>
      </c>
    </row>
    <row r="16" spans="1:16" ht="18" customHeight="1" x14ac:dyDescent="0.45">
      <c r="A16" s="13"/>
      <c r="B16" s="22"/>
      <c r="C16" s="4"/>
      <c r="D16" s="3"/>
      <c r="E16" s="2"/>
      <c r="F16" s="3"/>
      <c r="G16" s="71" t="str">
        <f t="shared" si="2"/>
        <v/>
      </c>
      <c r="H16" s="67"/>
      <c r="I16" s="40"/>
      <c r="J16" s="48">
        <f t="shared" si="0"/>
        <v>0</v>
      </c>
      <c r="K16" s="50" t="str">
        <f t="shared" si="5"/>
        <v>nr</v>
      </c>
      <c r="L16" s="57" t="str">
        <f t="shared" si="6"/>
        <v>nr</v>
      </c>
      <c r="M16" s="61" t="str">
        <f t="shared" si="7"/>
        <v>nr</v>
      </c>
      <c r="N16" s="52"/>
      <c r="O16" s="26">
        <f t="shared" si="1"/>
        <v>0</v>
      </c>
      <c r="P16" s="27" t="str">
        <f t="shared" si="4"/>
        <v>nr</v>
      </c>
    </row>
    <row r="17" spans="1:16" ht="18" customHeight="1" x14ac:dyDescent="0.45">
      <c r="A17" s="13"/>
      <c r="B17" s="22"/>
      <c r="C17" s="4"/>
      <c r="D17" s="3"/>
      <c r="E17" s="2"/>
      <c r="F17" s="3"/>
      <c r="G17" s="71" t="str">
        <f t="shared" si="2"/>
        <v/>
      </c>
      <c r="H17" s="67"/>
      <c r="I17" s="40"/>
      <c r="J17" s="48">
        <f t="shared" si="0"/>
        <v>0</v>
      </c>
      <c r="K17" s="50" t="str">
        <f t="shared" si="5"/>
        <v>nr</v>
      </c>
      <c r="L17" s="57" t="str">
        <f t="shared" si="6"/>
        <v>nr</v>
      </c>
      <c r="M17" s="61" t="str">
        <f t="shared" si="7"/>
        <v>nr</v>
      </c>
      <c r="N17" s="52"/>
      <c r="O17" s="26">
        <f t="shared" si="1"/>
        <v>0</v>
      </c>
      <c r="P17" s="27" t="str">
        <f t="shared" si="4"/>
        <v>nr</v>
      </c>
    </row>
    <row r="18" spans="1:16" ht="18" customHeight="1" x14ac:dyDescent="0.45">
      <c r="A18" s="13"/>
      <c r="B18" s="22"/>
      <c r="C18" s="4"/>
      <c r="D18" s="3"/>
      <c r="E18" s="2"/>
      <c r="F18" s="3"/>
      <c r="G18" s="71" t="str">
        <f t="shared" si="2"/>
        <v/>
      </c>
      <c r="H18" s="67"/>
      <c r="I18" s="40"/>
      <c r="J18" s="48">
        <f t="shared" si="0"/>
        <v>0</v>
      </c>
      <c r="K18" s="50" t="str">
        <f t="shared" si="5"/>
        <v>nr</v>
      </c>
      <c r="L18" s="57" t="str">
        <f t="shared" si="6"/>
        <v>nr</v>
      </c>
      <c r="M18" s="61" t="str">
        <f t="shared" si="7"/>
        <v>nr</v>
      </c>
      <c r="N18" s="52"/>
      <c r="O18" s="26">
        <f t="shared" si="1"/>
        <v>0</v>
      </c>
      <c r="P18" s="27" t="str">
        <f t="shared" si="4"/>
        <v>nr</v>
      </c>
    </row>
    <row r="19" spans="1:16" ht="18" customHeight="1" x14ac:dyDescent="0.45">
      <c r="A19" s="13"/>
      <c r="B19" s="22"/>
      <c r="C19" s="4"/>
      <c r="D19" s="3"/>
      <c r="E19" s="2"/>
      <c r="F19" s="3"/>
      <c r="G19" s="71" t="str">
        <f t="shared" si="2"/>
        <v/>
      </c>
      <c r="H19" s="67"/>
      <c r="I19" s="40"/>
      <c r="J19" s="48">
        <f t="shared" si="0"/>
        <v>0</v>
      </c>
      <c r="K19" s="50" t="str">
        <f t="shared" si="5"/>
        <v>nr</v>
      </c>
      <c r="L19" s="57" t="str">
        <f t="shared" si="6"/>
        <v>nr</v>
      </c>
      <c r="M19" s="61" t="str">
        <f t="shared" si="7"/>
        <v>nr</v>
      </c>
      <c r="N19" s="52"/>
      <c r="O19" s="26">
        <f t="shared" si="1"/>
        <v>0</v>
      </c>
      <c r="P19" s="27" t="str">
        <f t="shared" si="4"/>
        <v>nr</v>
      </c>
    </row>
    <row r="20" spans="1:16" ht="18" customHeight="1" x14ac:dyDescent="0.45">
      <c r="A20" s="13"/>
      <c r="B20" s="22"/>
      <c r="C20" s="4"/>
      <c r="D20" s="3"/>
      <c r="E20" s="2"/>
      <c r="F20" s="3"/>
      <c r="G20" s="71" t="str">
        <f t="shared" si="2"/>
        <v/>
      </c>
      <c r="H20" s="67"/>
      <c r="I20" s="40"/>
      <c r="J20" s="48">
        <f t="shared" si="0"/>
        <v>0</v>
      </c>
      <c r="K20" s="50" t="str">
        <f t="shared" si="5"/>
        <v>nr</v>
      </c>
      <c r="L20" s="57" t="str">
        <f t="shared" si="6"/>
        <v>nr</v>
      </c>
      <c r="M20" s="61" t="str">
        <f t="shared" si="7"/>
        <v>nr</v>
      </c>
      <c r="N20" s="52"/>
      <c r="O20" s="26">
        <f t="shared" si="1"/>
        <v>0</v>
      </c>
      <c r="P20" s="27" t="str">
        <f t="shared" si="4"/>
        <v>nr</v>
      </c>
    </row>
    <row r="21" spans="1:16" ht="18" customHeight="1" x14ac:dyDescent="0.45">
      <c r="A21" s="13"/>
      <c r="B21" s="22"/>
      <c r="C21" s="4"/>
      <c r="D21" s="3"/>
      <c r="E21" s="2"/>
      <c r="F21" s="3"/>
      <c r="G21" s="71" t="str">
        <f t="shared" si="2"/>
        <v/>
      </c>
      <c r="H21" s="67"/>
      <c r="I21" s="40"/>
      <c r="J21" s="48">
        <f t="shared" si="0"/>
        <v>0</v>
      </c>
      <c r="K21" s="50" t="str">
        <f t="shared" si="5"/>
        <v>nr</v>
      </c>
      <c r="L21" s="57" t="str">
        <f t="shared" si="6"/>
        <v>nr</v>
      </c>
      <c r="M21" s="61" t="str">
        <f t="shared" si="7"/>
        <v>nr</v>
      </c>
      <c r="N21" s="52"/>
      <c r="O21" s="26">
        <f t="shared" si="1"/>
        <v>0</v>
      </c>
      <c r="P21" s="27" t="str">
        <f t="shared" si="4"/>
        <v>nr</v>
      </c>
    </row>
    <row r="22" spans="1:16" ht="18" customHeight="1" x14ac:dyDescent="0.45">
      <c r="A22" s="13"/>
      <c r="B22" s="22"/>
      <c r="C22" s="4"/>
      <c r="D22" s="3"/>
      <c r="E22" s="2"/>
      <c r="F22" s="3"/>
      <c r="G22" s="71" t="str">
        <f t="shared" si="2"/>
        <v/>
      </c>
      <c r="H22" s="67"/>
      <c r="I22" s="40"/>
      <c r="J22" s="48">
        <f t="shared" si="0"/>
        <v>0</v>
      </c>
      <c r="K22" s="50" t="str">
        <f t="shared" si="5"/>
        <v>nr</v>
      </c>
      <c r="L22" s="57" t="str">
        <f t="shared" si="6"/>
        <v>nr</v>
      </c>
      <c r="M22" s="61" t="str">
        <f t="shared" si="7"/>
        <v>nr</v>
      </c>
      <c r="N22" s="52"/>
      <c r="O22" s="26">
        <f t="shared" si="1"/>
        <v>0</v>
      </c>
      <c r="P22" s="27" t="str">
        <f t="shared" si="4"/>
        <v>nr</v>
      </c>
    </row>
    <row r="23" spans="1:16" ht="18" customHeight="1" x14ac:dyDescent="0.45">
      <c r="A23" s="13"/>
      <c r="B23" s="22"/>
      <c r="C23" s="4"/>
      <c r="D23" s="3"/>
      <c r="E23" s="2"/>
      <c r="F23" s="3"/>
      <c r="G23" s="71" t="str">
        <f t="shared" si="2"/>
        <v/>
      </c>
      <c r="H23" s="67"/>
      <c r="I23" s="40"/>
      <c r="J23" s="48">
        <f t="shared" si="0"/>
        <v>0</v>
      </c>
      <c r="K23" s="50" t="str">
        <f t="shared" si="5"/>
        <v>nr</v>
      </c>
      <c r="L23" s="57" t="str">
        <f t="shared" si="6"/>
        <v>nr</v>
      </c>
      <c r="M23" s="61" t="str">
        <f t="shared" si="7"/>
        <v>nr</v>
      </c>
      <c r="N23" s="52"/>
      <c r="O23" s="26">
        <f t="shared" si="1"/>
        <v>0</v>
      </c>
      <c r="P23" s="27" t="str">
        <f t="shared" si="4"/>
        <v>nr</v>
      </c>
    </row>
    <row r="24" spans="1:16" ht="18" customHeight="1" x14ac:dyDescent="0.45">
      <c r="A24" s="13"/>
      <c r="B24" s="22"/>
      <c r="C24" s="4"/>
      <c r="D24" s="3"/>
      <c r="E24" s="2"/>
      <c r="F24" s="3"/>
      <c r="G24" s="71" t="str">
        <f t="shared" si="2"/>
        <v/>
      </c>
      <c r="H24" s="67"/>
      <c r="I24" s="40"/>
      <c r="J24" s="48">
        <f t="shared" si="0"/>
        <v>0</v>
      </c>
      <c r="K24" s="50" t="str">
        <f t="shared" si="5"/>
        <v>nr</v>
      </c>
      <c r="L24" s="57" t="str">
        <f t="shared" si="6"/>
        <v>nr</v>
      </c>
      <c r="M24" s="61" t="str">
        <f t="shared" si="7"/>
        <v>nr</v>
      </c>
      <c r="N24" s="52"/>
      <c r="O24" s="26">
        <f t="shared" si="1"/>
        <v>0</v>
      </c>
      <c r="P24" s="27" t="str">
        <f t="shared" si="4"/>
        <v>nr</v>
      </c>
    </row>
    <row r="25" spans="1:16" ht="18" customHeight="1" x14ac:dyDescent="0.45">
      <c r="A25" s="13"/>
      <c r="B25" s="22"/>
      <c r="C25" s="4"/>
      <c r="D25" s="3"/>
      <c r="E25" s="2"/>
      <c r="F25" s="3"/>
      <c r="G25" s="71" t="str">
        <f t="shared" si="2"/>
        <v/>
      </c>
      <c r="H25" s="67"/>
      <c r="I25" s="40"/>
      <c r="J25" s="48">
        <f t="shared" si="0"/>
        <v>0</v>
      </c>
      <c r="K25" s="50" t="str">
        <f t="shared" si="5"/>
        <v>nr</v>
      </c>
      <c r="L25" s="57" t="str">
        <f t="shared" si="6"/>
        <v>nr</v>
      </c>
      <c r="M25" s="61" t="str">
        <f t="shared" si="7"/>
        <v>nr</v>
      </c>
      <c r="N25" s="52"/>
      <c r="O25" s="26">
        <f t="shared" si="1"/>
        <v>0</v>
      </c>
      <c r="P25" s="27" t="str">
        <f t="shared" si="4"/>
        <v>nr</v>
      </c>
    </row>
    <row r="26" spans="1:16" ht="18" customHeight="1" x14ac:dyDescent="0.45">
      <c r="A26" s="13"/>
      <c r="B26" s="22"/>
      <c r="C26" s="4"/>
      <c r="D26" s="3"/>
      <c r="E26" s="2"/>
      <c r="F26" s="3"/>
      <c r="G26" s="71" t="str">
        <f t="shared" si="2"/>
        <v/>
      </c>
      <c r="H26" s="67"/>
      <c r="I26" s="40"/>
      <c r="J26" s="48">
        <f t="shared" si="0"/>
        <v>0</v>
      </c>
      <c r="K26" s="50" t="str">
        <f t="shared" si="5"/>
        <v>nr</v>
      </c>
      <c r="L26" s="57" t="str">
        <f t="shared" si="6"/>
        <v>nr</v>
      </c>
      <c r="M26" s="61" t="str">
        <f t="shared" si="7"/>
        <v>nr</v>
      </c>
      <c r="N26" s="52"/>
      <c r="O26" s="26">
        <f t="shared" si="1"/>
        <v>0</v>
      </c>
      <c r="P26" s="27" t="str">
        <f t="shared" si="4"/>
        <v>nr</v>
      </c>
    </row>
    <row r="27" spans="1:16" ht="18" customHeight="1" x14ac:dyDescent="0.45">
      <c r="A27" s="13"/>
      <c r="B27" s="22"/>
      <c r="C27" s="4"/>
      <c r="D27" s="3"/>
      <c r="E27" s="2"/>
      <c r="F27" s="3"/>
      <c r="G27" s="71" t="str">
        <f t="shared" si="2"/>
        <v/>
      </c>
      <c r="H27" s="67"/>
      <c r="I27" s="40"/>
      <c r="J27" s="48">
        <f t="shared" si="0"/>
        <v>0</v>
      </c>
      <c r="K27" s="50" t="str">
        <f t="shared" si="5"/>
        <v>nr</v>
      </c>
      <c r="L27" s="57" t="str">
        <f>IF(ISBLANK(B27),"nr",IF(B27-#REF!&lt;0,"erreur",MIN(70.4,(J27-(O27-#REF!)))/(B27-#REF!)*100))</f>
        <v>nr</v>
      </c>
      <c r="M27" s="61" t="str">
        <f>IF(ISBLANK(B27),"nr",K27/(B27-#REF!))</f>
        <v>nr</v>
      </c>
      <c r="N27" s="52"/>
      <c r="O27" s="26">
        <f t="shared" si="1"/>
        <v>0</v>
      </c>
      <c r="P27" s="27" t="str">
        <f t="shared" si="4"/>
        <v>nr</v>
      </c>
    </row>
    <row r="28" spans="1:16" ht="18" customHeight="1" x14ac:dyDescent="0.45">
      <c r="A28" s="13"/>
      <c r="B28" s="22"/>
      <c r="C28" s="4"/>
      <c r="D28" s="3"/>
      <c r="E28" s="2"/>
      <c r="F28" s="3"/>
      <c r="G28" s="71" t="str">
        <f t="shared" si="2"/>
        <v/>
      </c>
      <c r="H28" s="67"/>
      <c r="I28" s="40"/>
      <c r="J28" s="48">
        <f t="shared" si="0"/>
        <v>0</v>
      </c>
      <c r="K28" s="50" t="str">
        <f t="shared" si="5"/>
        <v>nr</v>
      </c>
      <c r="L28" s="57" t="str">
        <f t="shared" si="6"/>
        <v>nr</v>
      </c>
      <c r="M28" s="61" t="str">
        <f t="shared" si="7"/>
        <v>nr</v>
      </c>
      <c r="N28" s="52"/>
      <c r="O28" s="26">
        <f t="shared" si="1"/>
        <v>0</v>
      </c>
      <c r="P28" s="27" t="str">
        <f t="shared" si="4"/>
        <v>nr</v>
      </c>
    </row>
    <row r="29" spans="1:16" ht="18" customHeight="1" x14ac:dyDescent="0.45">
      <c r="A29" s="13"/>
      <c r="B29" s="22"/>
      <c r="C29" s="4"/>
      <c r="D29" s="3"/>
      <c r="E29" s="2"/>
      <c r="F29" s="3"/>
      <c r="G29" s="71" t="str">
        <f t="shared" si="2"/>
        <v/>
      </c>
      <c r="H29" s="67"/>
      <c r="I29" s="40"/>
      <c r="J29" s="48">
        <f t="shared" si="0"/>
        <v>0</v>
      </c>
      <c r="K29" s="50" t="str">
        <f t="shared" si="5"/>
        <v>nr</v>
      </c>
      <c r="L29" s="57" t="str">
        <f t="shared" si="6"/>
        <v>nr</v>
      </c>
      <c r="M29" s="61" t="str">
        <f t="shared" si="7"/>
        <v>nr</v>
      </c>
      <c r="N29" s="52"/>
      <c r="O29" s="26">
        <f t="shared" si="1"/>
        <v>0</v>
      </c>
      <c r="P29" s="27" t="str">
        <f t="shared" si="4"/>
        <v>nr</v>
      </c>
    </row>
    <row r="30" spans="1:16" ht="18" customHeight="1" thickBot="1" x14ac:dyDescent="0.5">
      <c r="A30" s="14"/>
      <c r="B30" s="23"/>
      <c r="C30" s="5"/>
      <c r="D30" s="6"/>
      <c r="E30" s="7"/>
      <c r="F30" s="6"/>
      <c r="G30" s="72" t="str">
        <f t="shared" si="2"/>
        <v/>
      </c>
      <c r="H30" s="68"/>
      <c r="I30" s="41"/>
      <c r="J30" s="49">
        <f t="shared" si="0"/>
        <v>0</v>
      </c>
      <c r="K30" s="62" t="str">
        <f t="shared" si="5"/>
        <v>nr</v>
      </c>
      <c r="L30" s="59" t="str">
        <f>IF(ISBLANK(B30),"nr",IF(B30-#REF!&lt;0,"erreur",MIN(70.4,(J30-(O30-#REF!)))/(B30-#REF!)*100))</f>
        <v>nr</v>
      </c>
      <c r="M30" s="63" t="str">
        <f>IF(ISBLANK(B30),"nr",K30/(B30-#REF!))</f>
        <v>nr</v>
      </c>
      <c r="N30" s="53"/>
      <c r="O30" s="28">
        <f t="shared" si="1"/>
        <v>0</v>
      </c>
      <c r="P30" s="29" t="str">
        <f t="shared" si="4"/>
        <v>nr</v>
      </c>
    </row>
  </sheetData>
  <mergeCells count="8">
    <mergeCell ref="P3:P4"/>
    <mergeCell ref="A1:P1"/>
    <mergeCell ref="N3:N4"/>
    <mergeCell ref="A3:A4"/>
    <mergeCell ref="B3:B4"/>
    <mergeCell ref="O3:O4"/>
    <mergeCell ref="C3:K3"/>
    <mergeCell ref="L3:M3"/>
  </mergeCells>
  <pageMargins left="0.39370078740157483" right="0.39370078740157483" top="0.39370078740157483" bottom="0.39370078740157483" header="0.31496062992125984" footer="0.31496062992125984"/>
  <pageSetup paperSize="9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00A5C-FE98-4DBA-B5EC-AE77596EC705}">
  <dimension ref="A1:AI49"/>
  <sheetViews>
    <sheetView tabSelected="1" topLeftCell="H1" zoomScale="90" zoomScaleNormal="90" workbookViewId="0">
      <selection activeCell="AL17" sqref="AL17"/>
    </sheetView>
  </sheetViews>
  <sheetFormatPr baseColWidth="10" defaultRowHeight="14.25" outlineLevelCol="1" x14ac:dyDescent="0.45"/>
  <cols>
    <col min="1" max="1" width="10.59765625" customWidth="1"/>
    <col min="2" max="2" width="6.265625" hidden="1" customWidth="1" outlineLevel="1"/>
    <col min="3" max="3" width="13.3984375" hidden="1" customWidth="1" outlineLevel="1"/>
    <col min="4" max="4" width="4.59765625" customWidth="1" collapsed="1"/>
    <col min="5" max="6" width="7.59765625" hidden="1" customWidth="1" outlineLevel="1"/>
    <col min="7" max="7" width="9.59765625" hidden="1" customWidth="1" outlineLevel="1"/>
    <col min="8" max="8" width="7.59765625" customWidth="1" collapsed="1"/>
    <col min="9" max="9" width="7.59765625" customWidth="1"/>
    <col min="10" max="10" width="4.59765625" customWidth="1"/>
    <col min="11" max="12" width="7.59765625" hidden="1" customWidth="1" outlineLevel="1"/>
    <col min="13" max="13" width="9.59765625" hidden="1" customWidth="1" outlineLevel="1"/>
    <col min="14" max="14" width="7.59765625" customWidth="1" collapsed="1"/>
    <col min="15" max="15" width="7.59765625" customWidth="1"/>
    <col min="16" max="16" width="4.59765625" customWidth="1"/>
    <col min="17" max="18" width="7.59765625" hidden="1" customWidth="1" outlineLevel="1"/>
    <col min="19" max="19" width="9.59765625" hidden="1" customWidth="1" outlineLevel="1"/>
    <col min="20" max="20" width="7.59765625" customWidth="1" collapsed="1"/>
    <col min="21" max="21" width="7.59765625" customWidth="1"/>
    <col min="22" max="22" width="4.59765625" customWidth="1"/>
    <col min="23" max="24" width="7.59765625" hidden="1" customWidth="1" outlineLevel="1"/>
    <col min="25" max="25" width="9.59765625" hidden="1" customWidth="1" outlineLevel="1"/>
    <col min="26" max="26" width="7.59765625" customWidth="1" collapsed="1"/>
    <col min="27" max="27" width="7.59765625" customWidth="1"/>
    <col min="28" max="28" width="4.59765625" customWidth="1"/>
    <col min="29" max="30" width="7.59765625" hidden="1" customWidth="1" outlineLevel="1"/>
    <col min="31" max="31" width="9.59765625" hidden="1" customWidth="1" outlineLevel="1"/>
    <col min="32" max="32" width="9.59765625" customWidth="1" collapsed="1"/>
    <col min="33" max="35" width="7.59765625" customWidth="1"/>
  </cols>
  <sheetData>
    <row r="1" spans="1:35" ht="14.65" thickTop="1" x14ac:dyDescent="0.45">
      <c r="A1" s="92" t="s">
        <v>11</v>
      </c>
      <c r="E1" s="107" t="s">
        <v>23</v>
      </c>
      <c r="F1" s="108"/>
      <c r="G1" s="108"/>
      <c r="H1" s="108"/>
      <c r="I1" s="108"/>
      <c r="J1" s="109"/>
      <c r="K1" s="108" t="s">
        <v>24</v>
      </c>
      <c r="L1" s="108"/>
      <c r="M1" s="108"/>
      <c r="N1" s="108"/>
      <c r="O1" s="108"/>
      <c r="P1" s="109"/>
      <c r="Q1" s="108" t="s">
        <v>32</v>
      </c>
      <c r="R1" s="108"/>
      <c r="S1" s="108"/>
      <c r="T1" s="108"/>
      <c r="U1" s="110"/>
      <c r="W1" s="158" t="s">
        <v>28</v>
      </c>
      <c r="X1" s="159"/>
      <c r="Y1" s="159"/>
      <c r="Z1" s="159"/>
      <c r="AA1" s="160"/>
      <c r="AC1" s="217" t="s">
        <v>33</v>
      </c>
      <c r="AD1" s="218"/>
      <c r="AE1" s="218"/>
      <c r="AF1" s="218"/>
      <c r="AG1" s="218"/>
      <c r="AH1" s="218"/>
      <c r="AI1" s="219"/>
    </row>
    <row r="2" spans="1:35" x14ac:dyDescent="0.45">
      <c r="A2" s="92"/>
      <c r="E2" s="111"/>
      <c r="F2" s="96"/>
      <c r="H2" s="128" t="s">
        <v>30</v>
      </c>
      <c r="I2" s="97">
        <v>0</v>
      </c>
      <c r="J2" s="96"/>
      <c r="K2" s="96"/>
      <c r="L2" s="96"/>
      <c r="N2" s="98" t="s">
        <v>30</v>
      </c>
      <c r="O2" s="134">
        <f>I3</f>
        <v>0.33</v>
      </c>
      <c r="P2" s="96"/>
      <c r="Q2" s="96"/>
      <c r="R2" s="96"/>
      <c r="T2" s="98" t="s">
        <v>30</v>
      </c>
      <c r="U2" s="112">
        <f>O3</f>
        <v>0.66</v>
      </c>
      <c r="W2" s="161"/>
      <c r="X2" s="96"/>
      <c r="Y2" s="96"/>
      <c r="Z2" s="163" t="s">
        <v>30</v>
      </c>
      <c r="AA2" s="162">
        <v>0.8</v>
      </c>
      <c r="AC2" s="220"/>
      <c r="AD2" s="96"/>
      <c r="AE2" s="96"/>
      <c r="AF2" s="220"/>
      <c r="AG2" s="98" t="s">
        <v>30</v>
      </c>
      <c r="AH2" s="97">
        <v>0.8</v>
      </c>
      <c r="AI2" s="221"/>
    </row>
    <row r="3" spans="1:35" x14ac:dyDescent="0.45">
      <c r="A3" s="91">
        <v>70.400000000000006</v>
      </c>
      <c r="E3" s="111"/>
      <c r="F3" s="96"/>
      <c r="H3" s="128" t="s">
        <v>22</v>
      </c>
      <c r="I3" s="97">
        <v>0.33</v>
      </c>
      <c r="J3" s="96"/>
      <c r="K3" s="96"/>
      <c r="L3" s="96"/>
      <c r="N3" s="98" t="s">
        <v>22</v>
      </c>
      <c r="O3" s="134">
        <v>0.66</v>
      </c>
      <c r="P3" s="96"/>
      <c r="Q3" s="96"/>
      <c r="R3" s="96"/>
      <c r="T3" s="98" t="s">
        <v>22</v>
      </c>
      <c r="U3" s="112">
        <v>0.8</v>
      </c>
      <c r="W3" s="161"/>
      <c r="X3" s="96"/>
      <c r="Y3" s="96"/>
      <c r="Z3" s="163" t="s">
        <v>22</v>
      </c>
      <c r="AA3" s="162">
        <v>0.8</v>
      </c>
      <c r="AC3" s="220"/>
      <c r="AD3" s="96"/>
      <c r="AE3" s="96"/>
      <c r="AF3" s="220"/>
      <c r="AG3" s="98" t="s">
        <v>22</v>
      </c>
      <c r="AH3" s="97">
        <v>0.4</v>
      </c>
      <c r="AI3" s="221" t="s">
        <v>35</v>
      </c>
    </row>
    <row r="4" spans="1:35" x14ac:dyDescent="0.45">
      <c r="E4" s="113"/>
      <c r="F4" s="98"/>
      <c r="H4" s="128" t="s">
        <v>31</v>
      </c>
      <c r="I4" s="30">
        <v>1</v>
      </c>
      <c r="J4" s="96"/>
      <c r="K4" s="98"/>
      <c r="L4" s="98"/>
      <c r="N4" s="98" t="s">
        <v>31</v>
      </c>
      <c r="O4" s="30">
        <v>1</v>
      </c>
      <c r="P4" s="96"/>
      <c r="Q4" s="98"/>
      <c r="R4" s="98"/>
      <c r="T4" s="98" t="s">
        <v>31</v>
      </c>
      <c r="U4" s="114">
        <v>1</v>
      </c>
      <c r="W4" s="163"/>
      <c r="X4" s="98"/>
      <c r="Y4" s="96"/>
      <c r="Z4" s="163" t="s">
        <v>31</v>
      </c>
      <c r="AA4" s="164">
        <v>1</v>
      </c>
      <c r="AC4" s="222"/>
      <c r="AD4" s="98"/>
      <c r="AE4" s="96"/>
      <c r="AF4" s="220"/>
      <c r="AG4" s="98"/>
      <c r="AH4" s="30"/>
      <c r="AI4" s="223"/>
    </row>
    <row r="5" spans="1:35" x14ac:dyDescent="0.45">
      <c r="A5" s="90" t="s">
        <v>12</v>
      </c>
      <c r="E5" s="115" t="s">
        <v>27</v>
      </c>
      <c r="F5" s="99"/>
      <c r="G5" s="127" t="s">
        <v>41</v>
      </c>
      <c r="H5" s="129" t="s">
        <v>34</v>
      </c>
      <c r="I5" s="100"/>
      <c r="J5" s="96"/>
      <c r="K5" s="99" t="s">
        <v>27</v>
      </c>
      <c r="L5" s="99"/>
      <c r="M5" s="127" t="s">
        <v>41</v>
      </c>
      <c r="N5" s="100" t="s">
        <v>34</v>
      </c>
      <c r="O5" s="100"/>
      <c r="P5" s="96"/>
      <c r="Q5" s="99" t="s">
        <v>27</v>
      </c>
      <c r="R5" s="99"/>
      <c r="S5" s="127" t="s">
        <v>41</v>
      </c>
      <c r="T5" s="100" t="s">
        <v>34</v>
      </c>
      <c r="U5" s="116"/>
      <c r="W5" s="165" t="s">
        <v>27</v>
      </c>
      <c r="X5" s="99"/>
      <c r="Y5" s="127" t="s">
        <v>41</v>
      </c>
      <c r="Z5" s="174" t="s">
        <v>34</v>
      </c>
      <c r="AA5" s="166"/>
      <c r="AC5" s="224" t="s">
        <v>27</v>
      </c>
      <c r="AD5" s="99"/>
      <c r="AE5" s="234" t="s">
        <v>37</v>
      </c>
      <c r="AF5" s="236" t="s">
        <v>34</v>
      </c>
      <c r="AG5" s="100"/>
      <c r="AH5" s="100"/>
      <c r="AI5" s="225"/>
    </row>
    <row r="6" spans="1:35" x14ac:dyDescent="0.45">
      <c r="A6" s="90"/>
      <c r="B6" s="15" t="s">
        <v>14</v>
      </c>
      <c r="C6" t="s">
        <v>13</v>
      </c>
      <c r="E6" s="117" t="s">
        <v>25</v>
      </c>
      <c r="F6" s="101" t="s">
        <v>26</v>
      </c>
      <c r="G6" s="127"/>
      <c r="H6" s="130" t="s">
        <v>3</v>
      </c>
      <c r="I6" s="103" t="s">
        <v>2</v>
      </c>
      <c r="J6" s="96"/>
      <c r="K6" s="104" t="s">
        <v>25</v>
      </c>
      <c r="L6" s="101" t="s">
        <v>26</v>
      </c>
      <c r="M6" s="127"/>
      <c r="N6" s="102" t="s">
        <v>3</v>
      </c>
      <c r="O6" s="103" t="s">
        <v>2</v>
      </c>
      <c r="P6" s="96"/>
      <c r="Q6" s="104" t="s">
        <v>25</v>
      </c>
      <c r="R6" s="101" t="s">
        <v>26</v>
      </c>
      <c r="S6" s="127"/>
      <c r="T6" s="102" t="s">
        <v>3</v>
      </c>
      <c r="U6" s="118" t="s">
        <v>2</v>
      </c>
      <c r="W6" s="167" t="s">
        <v>25</v>
      </c>
      <c r="X6" s="101" t="s">
        <v>26</v>
      </c>
      <c r="Y6" s="127"/>
      <c r="Z6" s="175" t="s">
        <v>3</v>
      </c>
      <c r="AA6" s="168" t="s">
        <v>2</v>
      </c>
      <c r="AC6" s="226" t="s">
        <v>25</v>
      </c>
      <c r="AD6" s="101" t="s">
        <v>26</v>
      </c>
      <c r="AE6" s="234"/>
      <c r="AF6" s="237" t="s">
        <v>29</v>
      </c>
      <c r="AG6" s="102" t="s">
        <v>3</v>
      </c>
      <c r="AH6" s="103" t="s">
        <v>2</v>
      </c>
      <c r="AI6" s="227" t="s">
        <v>36</v>
      </c>
    </row>
    <row r="7" spans="1:35" x14ac:dyDescent="0.45">
      <c r="A7" s="30">
        <v>0</v>
      </c>
      <c r="B7" s="31">
        <f>A7*A$3</f>
        <v>0</v>
      </c>
      <c r="C7" s="31">
        <f>A$3-B7</f>
        <v>70.400000000000006</v>
      </c>
      <c r="E7" s="119">
        <f>$B7*I$2</f>
        <v>0</v>
      </c>
      <c r="F7" s="105">
        <f>$B7-E7</f>
        <v>0</v>
      </c>
      <c r="G7" s="105">
        <f>I$4*I$3*$A$3</f>
        <v>23.232000000000003</v>
      </c>
      <c r="H7" s="131">
        <f>IF(G7&lt;E7,"Trop E85",IF((G7-E7)&lt;=$C7,G7-E7,"Trop SP"))</f>
        <v>23.232000000000003</v>
      </c>
      <c r="I7" s="105">
        <f t="shared" ref="I7:I12" si="0">IF(ISNUMBER(H7),$C7-H7,"Attendre")</f>
        <v>47.168000000000006</v>
      </c>
      <c r="J7" s="96"/>
      <c r="K7" s="105">
        <f>$B7*O$2</f>
        <v>0</v>
      </c>
      <c r="L7" s="105">
        <f>$B7-K7</f>
        <v>0</v>
      </c>
      <c r="M7" s="105">
        <f>O$4*O$3*$A$3</f>
        <v>46.464000000000006</v>
      </c>
      <c r="N7" s="106">
        <f>IF(M7&lt;K7,"Trop E85",IF((M7-K7)&lt;=$C7,M7-K7,"Trop SP"))</f>
        <v>46.464000000000006</v>
      </c>
      <c r="O7" s="105">
        <f t="shared" ref="O7:O12" si="1">IF(ISNUMBER(N7),$C7-N7,"Attendre")</f>
        <v>23.936</v>
      </c>
      <c r="P7" s="96"/>
      <c r="Q7" s="105">
        <f>$B7*U$2</f>
        <v>0</v>
      </c>
      <c r="R7" s="105">
        <f>$B7-Q7</f>
        <v>0</v>
      </c>
      <c r="S7" s="105">
        <f>U$4*U$3*$A$3</f>
        <v>56.320000000000007</v>
      </c>
      <c r="T7" s="105">
        <f>IF(S7&lt;Q7,"Trop E85",IF((S7-Q7)&lt;=$C7,S7-Q7,"Trop SP"))</f>
        <v>56.320000000000007</v>
      </c>
      <c r="U7" s="120">
        <f t="shared" ref="U7:U12" si="2">IF(ISNUMBER(T7),$C7-T7,"Attendre")</f>
        <v>14.079999999999998</v>
      </c>
      <c r="W7" s="169">
        <f>$B7*AA$2</f>
        <v>0</v>
      </c>
      <c r="X7" s="105">
        <f>$B7-W7</f>
        <v>0</v>
      </c>
      <c r="Y7" s="105">
        <f>AA$4*AA$3*$A$3</f>
        <v>56.320000000000007</v>
      </c>
      <c r="Z7" s="176">
        <f>IF(Y7&lt;W7,"Trop E85",IF((Y7-W7)&lt;=$C7,Y7-W7,"Trop SP"))</f>
        <v>56.320000000000007</v>
      </c>
      <c r="AA7" s="170">
        <f t="shared" ref="AA7:AA12" si="3">IF(ISNUMBER(Z7),$C7-Z7,"Attendre")</f>
        <v>14.079999999999998</v>
      </c>
      <c r="AC7" s="228">
        <f>$B7*AH$2</f>
        <v>0</v>
      </c>
      <c r="AD7" s="105">
        <f>$B7-AC7</f>
        <v>0</v>
      </c>
      <c r="AE7" s="105">
        <f>IF(((1-AH$3)/AH$3*AC7-AD7)&gt;((1-$A7)*$A$3),(1-$A7)*$A$3,(1-AH$3)/AH$3*AC7-AD7)</f>
        <v>0</v>
      </c>
      <c r="AF7" s="238">
        <f>(AC7+AD7+AE7)/$A$3</f>
        <v>0</v>
      </c>
      <c r="AG7" s="106" t="str">
        <f>IF(A7=1,"Déjà",IF(AF7&gt;A7,0,"!!! Plein"))</f>
        <v>!!! Plein</v>
      </c>
      <c r="AH7" s="105" t="str">
        <f>IF(AG7="!!! Plein"," avant !!!",IF(AG7="Déjà","plein…",AE7))</f>
        <v xml:space="preserve"> avant !!!</v>
      </c>
      <c r="AI7" s="229">
        <f t="shared" ref="AI7:AI14" si="4">IF(ISNUMBER(AG7),(AC7+AG7)/(AC7+AG7+AD7+AH7),AH$2)</f>
        <v>0.8</v>
      </c>
    </row>
    <row r="8" spans="1:35" x14ac:dyDescent="0.45">
      <c r="A8" s="30">
        <v>0.125</v>
      </c>
      <c r="B8" s="31">
        <f>A8*A$3</f>
        <v>8.8000000000000007</v>
      </c>
      <c r="C8" s="31">
        <f>A$3-B8</f>
        <v>61.600000000000009</v>
      </c>
      <c r="E8" s="119">
        <f>$B8*I$2</f>
        <v>0</v>
      </c>
      <c r="F8" s="105">
        <f t="shared" ref="F8:F15" si="5">$B8-E8</f>
        <v>8.8000000000000007</v>
      </c>
      <c r="G8" s="105">
        <f t="shared" ref="G8:G15" si="6">I$4*I$3*$A$3</f>
        <v>23.232000000000003</v>
      </c>
      <c r="H8" s="132">
        <f>IF(G8&lt;E8,"Trop E85",IF((G8-E8)&lt;=$C8,G8-E8,"Trop SP"))</f>
        <v>23.232000000000003</v>
      </c>
      <c r="I8" s="105">
        <f t="shared" si="0"/>
        <v>38.368000000000009</v>
      </c>
      <c r="J8" s="96"/>
      <c r="K8" s="105">
        <f>$B8*O$2</f>
        <v>2.9040000000000004</v>
      </c>
      <c r="L8" s="105">
        <f t="shared" ref="L8:L15" si="7">$B8-K8</f>
        <v>5.8960000000000008</v>
      </c>
      <c r="M8" s="105">
        <f t="shared" ref="M8:M15" si="8">O$4*O$3*$A$3</f>
        <v>46.464000000000006</v>
      </c>
      <c r="N8" s="106">
        <f>IF(M8&lt;K8,"Trop E85",IF((M8-K8)&lt;=$C8,M8-K8,"Trop SP"))</f>
        <v>43.56</v>
      </c>
      <c r="O8" s="105">
        <f t="shared" si="1"/>
        <v>18.040000000000006</v>
      </c>
      <c r="P8" s="96"/>
      <c r="Q8" s="105">
        <f>$B8*U$2</f>
        <v>5.8080000000000007</v>
      </c>
      <c r="R8" s="105">
        <f t="shared" ref="R8:R15" si="9">$B8-Q8</f>
        <v>2.992</v>
      </c>
      <c r="S8" s="105">
        <f t="shared" ref="S8:S15" si="10">U$4*U$3*$A$3</f>
        <v>56.320000000000007</v>
      </c>
      <c r="T8" s="106">
        <f>IF(S8&lt;Q8,"Trop E85",IF((S8-Q8)&lt;=$C8,S8-Q8,"Trop SP"))</f>
        <v>50.512000000000008</v>
      </c>
      <c r="U8" s="120">
        <f t="shared" si="2"/>
        <v>11.088000000000001</v>
      </c>
      <c r="W8" s="169">
        <f>$B8*AA$2</f>
        <v>7.0400000000000009</v>
      </c>
      <c r="X8" s="105">
        <f t="shared" ref="X8:X15" si="11">$B8-W8</f>
        <v>1.7599999999999998</v>
      </c>
      <c r="Y8" s="105">
        <f t="shared" ref="Y8:Y15" si="12">AA$4*AA$3*$A$3</f>
        <v>56.320000000000007</v>
      </c>
      <c r="Z8" s="176">
        <f>IF(Y8&lt;W8,"Trop E85",IF((Y8-W8)&lt;=$C8,Y8-W8,"Trop SP"))</f>
        <v>49.280000000000008</v>
      </c>
      <c r="AA8" s="170">
        <f t="shared" si="3"/>
        <v>12.32</v>
      </c>
      <c r="AC8" s="228">
        <f>$B8*AH$2</f>
        <v>7.0400000000000009</v>
      </c>
      <c r="AD8" s="105">
        <f t="shared" ref="AD8:AD15" si="13">$B8-AC8</f>
        <v>1.7599999999999998</v>
      </c>
      <c r="AE8" s="105">
        <f t="shared" ref="AE8:AE15" si="14">IF(((1-AH$3)/AH$3*AC8-AD8)&gt;((1-$A8)*$A$3),(1-$A8)*$A$3,(1-AH$3)/AH$3*AC8-AD8)</f>
        <v>8.8000000000000007</v>
      </c>
      <c r="AF8" s="238">
        <f t="shared" ref="AF8:AF15" si="15">(AC8+AD8+AE8)/$A$3</f>
        <v>0.25</v>
      </c>
      <c r="AG8" s="106">
        <f t="shared" ref="AG8:AG15" si="16">IF(A8=1,"Déjà",IF(AF8&gt;A8,0,"!!! Plein"))</f>
        <v>0</v>
      </c>
      <c r="AH8" s="105">
        <f t="shared" ref="AH8:AH15" si="17">IF(AG8="!!! Plein"," avant !!!",IF(AG8="Déjà","plein…",AE8))</f>
        <v>8.8000000000000007</v>
      </c>
      <c r="AI8" s="229">
        <f t="shared" si="4"/>
        <v>0.4</v>
      </c>
    </row>
    <row r="9" spans="1:35" x14ac:dyDescent="0.45">
      <c r="A9" s="30">
        <v>0.25</v>
      </c>
      <c r="B9" s="31">
        <f>A9*A$3</f>
        <v>17.600000000000001</v>
      </c>
      <c r="C9" s="31">
        <f>A$3-B9</f>
        <v>52.800000000000004</v>
      </c>
      <c r="E9" s="119">
        <f>$B9*I$2</f>
        <v>0</v>
      </c>
      <c r="F9" s="105">
        <f t="shared" si="5"/>
        <v>17.600000000000001</v>
      </c>
      <c r="G9" s="105">
        <f t="shared" si="6"/>
        <v>23.232000000000003</v>
      </c>
      <c r="H9" s="132">
        <f>IF(G9&lt;E9,"Trop E85",IF((G9-E9)&lt;=$C9,G9-E9,"Trop SP"))</f>
        <v>23.232000000000003</v>
      </c>
      <c r="I9" s="105">
        <f t="shared" si="0"/>
        <v>29.568000000000001</v>
      </c>
      <c r="J9" s="96"/>
      <c r="K9" s="105">
        <f>$B9*O$2</f>
        <v>5.8080000000000007</v>
      </c>
      <c r="L9" s="105">
        <f t="shared" si="7"/>
        <v>11.792000000000002</v>
      </c>
      <c r="M9" s="105">
        <f t="shared" si="8"/>
        <v>46.464000000000006</v>
      </c>
      <c r="N9" s="106">
        <f>IF(M9&lt;K9,"Trop E85",IF((M9-K9)&lt;=$C9,M9-K9,"Trop SP"))</f>
        <v>40.656000000000006</v>
      </c>
      <c r="O9" s="105">
        <f t="shared" si="1"/>
        <v>12.143999999999998</v>
      </c>
      <c r="P9" s="96"/>
      <c r="Q9" s="105">
        <f>$B9*U$2</f>
        <v>11.616000000000001</v>
      </c>
      <c r="R9" s="105">
        <f t="shared" si="9"/>
        <v>5.984</v>
      </c>
      <c r="S9" s="105">
        <f t="shared" si="10"/>
        <v>56.320000000000007</v>
      </c>
      <c r="T9" s="106">
        <f>IF(S9&lt;Q9,"Trop E85",IF((S9-Q9)&lt;=$C9,S9-Q9,"Trop SP"))</f>
        <v>44.704000000000008</v>
      </c>
      <c r="U9" s="120">
        <f t="shared" si="2"/>
        <v>8.0959999999999965</v>
      </c>
      <c r="W9" s="169">
        <f>$B9*AA$2</f>
        <v>14.080000000000002</v>
      </c>
      <c r="X9" s="105">
        <f t="shared" si="11"/>
        <v>3.5199999999999996</v>
      </c>
      <c r="Y9" s="105">
        <f t="shared" si="12"/>
        <v>56.320000000000007</v>
      </c>
      <c r="Z9" s="176">
        <f>IF(Y9&lt;W9,"Trop E85",IF((Y9-W9)&lt;=$C9,Y9-W9,"Trop SP"))</f>
        <v>42.240000000000009</v>
      </c>
      <c r="AA9" s="170">
        <f t="shared" si="3"/>
        <v>10.559999999999995</v>
      </c>
      <c r="AC9" s="228">
        <f>$B9*AH$2</f>
        <v>14.080000000000002</v>
      </c>
      <c r="AD9" s="105">
        <f t="shared" si="13"/>
        <v>3.5199999999999996</v>
      </c>
      <c r="AE9" s="105">
        <f t="shared" si="14"/>
        <v>17.600000000000001</v>
      </c>
      <c r="AF9" s="238">
        <f t="shared" si="15"/>
        <v>0.5</v>
      </c>
      <c r="AG9" s="106">
        <f t="shared" si="16"/>
        <v>0</v>
      </c>
      <c r="AH9" s="105">
        <f t="shared" si="17"/>
        <v>17.600000000000001</v>
      </c>
      <c r="AI9" s="229">
        <f t="shared" si="4"/>
        <v>0.4</v>
      </c>
    </row>
    <row r="10" spans="1:35" x14ac:dyDescent="0.45">
      <c r="A10" s="30">
        <v>0.375</v>
      </c>
      <c r="B10" s="31">
        <f>A10*A$3</f>
        <v>26.400000000000002</v>
      </c>
      <c r="C10" s="31">
        <f>A$3-B10</f>
        <v>44</v>
      </c>
      <c r="E10" s="119">
        <f>$B10*I$2</f>
        <v>0</v>
      </c>
      <c r="F10" s="105">
        <f t="shared" si="5"/>
        <v>26.400000000000002</v>
      </c>
      <c r="G10" s="105">
        <f t="shared" si="6"/>
        <v>23.232000000000003</v>
      </c>
      <c r="H10" s="132">
        <f>IF(G10&lt;E10,"Trop E85",IF((G10-E10)&lt;=$C10,G10-E10,"Trop SP"))</f>
        <v>23.232000000000003</v>
      </c>
      <c r="I10" s="105">
        <f t="shared" si="0"/>
        <v>20.767999999999997</v>
      </c>
      <c r="J10" s="96"/>
      <c r="K10" s="105">
        <f>$B10*O$2</f>
        <v>8.7120000000000015</v>
      </c>
      <c r="L10" s="105">
        <f t="shared" si="7"/>
        <v>17.688000000000002</v>
      </c>
      <c r="M10" s="105">
        <f t="shared" si="8"/>
        <v>46.464000000000006</v>
      </c>
      <c r="N10" s="106">
        <f>IF(M10&lt;K10,"Trop E85",IF((M10-K10)&lt;=$C10,M10-K10,"Trop SP"))</f>
        <v>37.752000000000002</v>
      </c>
      <c r="O10" s="105">
        <f t="shared" si="1"/>
        <v>6.2479999999999976</v>
      </c>
      <c r="P10" s="96"/>
      <c r="Q10" s="105">
        <f>$B10*U$2</f>
        <v>17.424000000000003</v>
      </c>
      <c r="R10" s="105">
        <f t="shared" si="9"/>
        <v>8.9759999999999991</v>
      </c>
      <c r="S10" s="105">
        <f t="shared" si="10"/>
        <v>56.320000000000007</v>
      </c>
      <c r="T10" s="106">
        <f>IF(S10&lt;Q10,"Trop E85",IF((S10-Q10)&lt;=$C10,S10-Q10,"Trop SP"))</f>
        <v>38.896000000000001</v>
      </c>
      <c r="U10" s="120">
        <f t="shared" si="2"/>
        <v>5.1039999999999992</v>
      </c>
      <c r="W10" s="169">
        <f>$B10*AA$2</f>
        <v>21.120000000000005</v>
      </c>
      <c r="X10" s="105">
        <f t="shared" si="11"/>
        <v>5.2799999999999976</v>
      </c>
      <c r="Y10" s="105">
        <f t="shared" si="12"/>
        <v>56.320000000000007</v>
      </c>
      <c r="Z10" s="176">
        <f>IF(Y10&lt;W10,"Trop E85",IF((Y10-W10)&lt;=$C10,Y10-W10,"Trop SP"))</f>
        <v>35.200000000000003</v>
      </c>
      <c r="AA10" s="170">
        <f t="shared" si="3"/>
        <v>8.7999999999999972</v>
      </c>
      <c r="AC10" s="228">
        <f>$B10*AH$2</f>
        <v>21.120000000000005</v>
      </c>
      <c r="AD10" s="105">
        <f t="shared" si="13"/>
        <v>5.2799999999999976</v>
      </c>
      <c r="AE10" s="105">
        <f t="shared" si="14"/>
        <v>26.400000000000006</v>
      </c>
      <c r="AF10" s="238">
        <f t="shared" si="15"/>
        <v>0.75000000000000011</v>
      </c>
      <c r="AG10" s="106">
        <f t="shared" si="16"/>
        <v>0</v>
      </c>
      <c r="AH10" s="105">
        <f t="shared" si="17"/>
        <v>26.400000000000006</v>
      </c>
      <c r="AI10" s="229">
        <f t="shared" si="4"/>
        <v>0.4</v>
      </c>
    </row>
    <row r="11" spans="1:35" x14ac:dyDescent="0.45">
      <c r="A11" s="30">
        <v>0.5</v>
      </c>
      <c r="B11" s="31">
        <f>A11*A$3</f>
        <v>35.200000000000003</v>
      </c>
      <c r="C11" s="31">
        <f>A$3-B11</f>
        <v>35.200000000000003</v>
      </c>
      <c r="E11" s="119">
        <f>$B11*I$2</f>
        <v>0</v>
      </c>
      <c r="F11" s="105">
        <f t="shared" si="5"/>
        <v>35.200000000000003</v>
      </c>
      <c r="G11" s="105">
        <f t="shared" si="6"/>
        <v>23.232000000000003</v>
      </c>
      <c r="H11" s="132">
        <f>IF(G11&lt;E11,"Trop E85",IF((G11-E11)&lt;=$C11,G11-E11,"Trop SP"))</f>
        <v>23.232000000000003</v>
      </c>
      <c r="I11" s="105">
        <f t="shared" si="0"/>
        <v>11.968</v>
      </c>
      <c r="J11" s="96"/>
      <c r="K11" s="105">
        <f>$B11*O$2</f>
        <v>11.616000000000001</v>
      </c>
      <c r="L11" s="105">
        <f t="shared" si="7"/>
        <v>23.584000000000003</v>
      </c>
      <c r="M11" s="105">
        <f t="shared" si="8"/>
        <v>46.464000000000006</v>
      </c>
      <c r="N11" s="106">
        <f>IF(M11&lt;K11,"Trop E85",IF((M11-K11)&lt;=$C11,M11-K11,"Trop SP"))</f>
        <v>34.848000000000006</v>
      </c>
      <c r="O11" s="105">
        <f t="shared" si="1"/>
        <v>0.35199999999999676</v>
      </c>
      <c r="P11" s="96"/>
      <c r="Q11" s="105">
        <f>$B11*U$2</f>
        <v>23.232000000000003</v>
      </c>
      <c r="R11" s="105">
        <f t="shared" si="9"/>
        <v>11.968</v>
      </c>
      <c r="S11" s="105">
        <f t="shared" si="10"/>
        <v>56.320000000000007</v>
      </c>
      <c r="T11" s="106">
        <f>IF(S11&lt;Q11,"Trop E85",IF((S11-Q11)&lt;=$C11,S11-Q11,"Trop SP"))</f>
        <v>33.088000000000008</v>
      </c>
      <c r="U11" s="120">
        <f t="shared" si="2"/>
        <v>2.1119999999999948</v>
      </c>
      <c r="W11" s="169">
        <f>$B11*AA$2</f>
        <v>28.160000000000004</v>
      </c>
      <c r="X11" s="105">
        <f t="shared" si="11"/>
        <v>7.0399999999999991</v>
      </c>
      <c r="Y11" s="105">
        <f t="shared" si="12"/>
        <v>56.320000000000007</v>
      </c>
      <c r="Z11" s="176">
        <f>IF(Y11&lt;W11,"Trop E85",IF((Y11-W11)&lt;=$C11,Y11-W11,"Trop SP"))</f>
        <v>28.160000000000004</v>
      </c>
      <c r="AA11" s="170">
        <f t="shared" si="3"/>
        <v>7.0399999999999991</v>
      </c>
      <c r="AC11" s="228">
        <f>$B11*AH$2</f>
        <v>28.160000000000004</v>
      </c>
      <c r="AD11" s="105">
        <f t="shared" si="13"/>
        <v>7.0399999999999991</v>
      </c>
      <c r="AE11" s="105">
        <f t="shared" si="14"/>
        <v>35.200000000000003</v>
      </c>
      <c r="AF11" s="238">
        <f t="shared" si="15"/>
        <v>1</v>
      </c>
      <c r="AG11" s="106">
        <f t="shared" si="16"/>
        <v>0</v>
      </c>
      <c r="AH11" s="105">
        <f t="shared" si="17"/>
        <v>35.200000000000003</v>
      </c>
      <c r="AI11" s="229">
        <f t="shared" si="4"/>
        <v>0.4</v>
      </c>
    </row>
    <row r="12" spans="1:35" x14ac:dyDescent="0.45">
      <c r="A12" s="30">
        <v>0.625</v>
      </c>
      <c r="B12" s="31">
        <f>A12*A$3</f>
        <v>44</v>
      </c>
      <c r="C12" s="31">
        <f>A$3-B12</f>
        <v>26.400000000000006</v>
      </c>
      <c r="E12" s="119">
        <f>$B12*I$2</f>
        <v>0</v>
      </c>
      <c r="F12" s="105">
        <f t="shared" si="5"/>
        <v>44</v>
      </c>
      <c r="G12" s="105">
        <f t="shared" si="6"/>
        <v>23.232000000000003</v>
      </c>
      <c r="H12" s="132">
        <f>IF(G12&lt;E12,"Trop E85",IF((G12-E12)&lt;=$C12,G12-E12,"Trop SP"))</f>
        <v>23.232000000000003</v>
      </c>
      <c r="I12" s="105">
        <f t="shared" si="0"/>
        <v>3.1680000000000028</v>
      </c>
      <c r="J12" s="96"/>
      <c r="K12" s="105">
        <f>$B12*O$2</f>
        <v>14.520000000000001</v>
      </c>
      <c r="L12" s="105">
        <f t="shared" si="7"/>
        <v>29.479999999999997</v>
      </c>
      <c r="M12" s="105">
        <f t="shared" si="8"/>
        <v>46.464000000000006</v>
      </c>
      <c r="N12" s="106" t="str">
        <f>IF(M12&lt;K12,"Trop E85",IF((M12-K12)&lt;=$C12,M12-K12,"Trop SP"))</f>
        <v>Trop SP</v>
      </c>
      <c r="O12" s="105" t="str">
        <f t="shared" si="1"/>
        <v>Attendre</v>
      </c>
      <c r="P12" s="96"/>
      <c r="Q12" s="105">
        <f>$B12*U$2</f>
        <v>29.040000000000003</v>
      </c>
      <c r="R12" s="105">
        <f t="shared" si="9"/>
        <v>14.959999999999997</v>
      </c>
      <c r="S12" s="105">
        <f t="shared" si="10"/>
        <v>56.320000000000007</v>
      </c>
      <c r="T12" s="106" t="str">
        <f>IF(S12&lt;Q12,"Trop E85",IF((S12-Q12)&lt;=$C12,S12-Q12,"Trop SP"))</f>
        <v>Trop SP</v>
      </c>
      <c r="U12" s="120" t="str">
        <f t="shared" si="2"/>
        <v>Attendre</v>
      </c>
      <c r="W12" s="169">
        <f>$B12*AA$2</f>
        <v>35.200000000000003</v>
      </c>
      <c r="X12" s="105">
        <f t="shared" si="11"/>
        <v>8.7999999999999972</v>
      </c>
      <c r="Y12" s="105">
        <f t="shared" si="12"/>
        <v>56.320000000000007</v>
      </c>
      <c r="Z12" s="176">
        <f>IF(Y12&lt;W12,"Trop E85",IF((Y12-W12)&lt;=$C12,Y12-W12,"Trop SP"))</f>
        <v>21.120000000000005</v>
      </c>
      <c r="AA12" s="170">
        <f t="shared" si="3"/>
        <v>5.2800000000000011</v>
      </c>
      <c r="AC12" s="228">
        <f>$B12*AH$2</f>
        <v>35.200000000000003</v>
      </c>
      <c r="AD12" s="105">
        <f t="shared" si="13"/>
        <v>8.7999999999999972</v>
      </c>
      <c r="AE12" s="105">
        <f t="shared" si="14"/>
        <v>26.400000000000002</v>
      </c>
      <c r="AF12" s="238">
        <f t="shared" si="15"/>
        <v>1</v>
      </c>
      <c r="AG12" s="106">
        <f t="shared" si="16"/>
        <v>0</v>
      </c>
      <c r="AH12" s="105">
        <f t="shared" si="17"/>
        <v>26.400000000000002</v>
      </c>
      <c r="AI12" s="229">
        <f t="shared" si="4"/>
        <v>0.5</v>
      </c>
    </row>
    <row r="13" spans="1:35" x14ac:dyDescent="0.45">
      <c r="A13" s="30">
        <v>0.75</v>
      </c>
      <c r="B13" s="31">
        <f>A13*A$3</f>
        <v>52.800000000000004</v>
      </c>
      <c r="C13" s="31">
        <f>A$3-B13</f>
        <v>17.600000000000001</v>
      </c>
      <c r="E13" s="119">
        <f>$B13*I$2</f>
        <v>0</v>
      </c>
      <c r="F13" s="105">
        <f t="shared" si="5"/>
        <v>52.800000000000004</v>
      </c>
      <c r="G13" s="105">
        <f t="shared" si="6"/>
        <v>23.232000000000003</v>
      </c>
      <c r="H13" s="132" t="str">
        <f>IF(G13&lt;E13,"Trop E85",IF((G13-E13)&lt;=$C13,G13-E13,"Trop SP"))</f>
        <v>Trop SP</v>
      </c>
      <c r="I13" s="105" t="str">
        <f>IF(ISNUMBER(H13),$C13-H13,"Attendre")</f>
        <v>Attendre</v>
      </c>
      <c r="J13" s="96"/>
      <c r="K13" s="105">
        <f>$B13*O$2</f>
        <v>17.424000000000003</v>
      </c>
      <c r="L13" s="105">
        <f t="shared" si="7"/>
        <v>35.376000000000005</v>
      </c>
      <c r="M13" s="105">
        <f t="shared" si="8"/>
        <v>46.464000000000006</v>
      </c>
      <c r="N13" s="106" t="str">
        <f>IF(M13&lt;K13,"Trop E85",IF((M13-K13)&lt;=$C13,M13-K13,"Trop SP"))</f>
        <v>Trop SP</v>
      </c>
      <c r="O13" s="105" t="str">
        <f>IF(ISNUMBER(N13),$C13-N13,"Attendre")</f>
        <v>Attendre</v>
      </c>
      <c r="P13" s="96"/>
      <c r="Q13" s="105">
        <f>$B13*U$2</f>
        <v>34.848000000000006</v>
      </c>
      <c r="R13" s="105">
        <f t="shared" si="9"/>
        <v>17.951999999999998</v>
      </c>
      <c r="S13" s="105">
        <f t="shared" si="10"/>
        <v>56.320000000000007</v>
      </c>
      <c r="T13" s="106" t="str">
        <f>IF(S13&lt;Q13,"Trop E85",IF((S13-Q13)&lt;=$C13,S13-Q13,"Trop SP"))</f>
        <v>Trop SP</v>
      </c>
      <c r="U13" s="120" t="str">
        <f>IF(ISNUMBER(T13),$C13-T13,"Attendre")</f>
        <v>Attendre</v>
      </c>
      <c r="W13" s="169">
        <f>$B13*AA$2</f>
        <v>42.240000000000009</v>
      </c>
      <c r="X13" s="105">
        <f t="shared" si="11"/>
        <v>10.559999999999995</v>
      </c>
      <c r="Y13" s="105">
        <f t="shared" si="12"/>
        <v>56.320000000000007</v>
      </c>
      <c r="Z13" s="176">
        <f>IF(Y13&lt;W13,"Trop E85",IF((Y13-W13)&lt;=$C13,Y13-W13,"Trop SP"))</f>
        <v>14.079999999999998</v>
      </c>
      <c r="AA13" s="170">
        <f>IF(ISNUMBER(Z13),$C13-Z13,"Attendre")</f>
        <v>3.5200000000000031</v>
      </c>
      <c r="AC13" s="228">
        <f>$B13*AH$2</f>
        <v>42.240000000000009</v>
      </c>
      <c r="AD13" s="105">
        <f t="shared" si="13"/>
        <v>10.559999999999995</v>
      </c>
      <c r="AE13" s="105">
        <f t="shared" si="14"/>
        <v>17.600000000000001</v>
      </c>
      <c r="AF13" s="238">
        <f t="shared" si="15"/>
        <v>1</v>
      </c>
      <c r="AG13" s="106">
        <f t="shared" si="16"/>
        <v>0</v>
      </c>
      <c r="AH13" s="105">
        <f t="shared" si="17"/>
        <v>17.600000000000001</v>
      </c>
      <c r="AI13" s="229">
        <f t="shared" si="4"/>
        <v>0.60000000000000009</v>
      </c>
    </row>
    <row r="14" spans="1:35" x14ac:dyDescent="0.45">
      <c r="A14" s="30">
        <v>0.875</v>
      </c>
      <c r="B14" s="31">
        <f>A14*A$3</f>
        <v>61.600000000000009</v>
      </c>
      <c r="C14" s="31">
        <f>A$3-B14</f>
        <v>8.7999999999999972</v>
      </c>
      <c r="E14" s="119">
        <f>$B14*I$2</f>
        <v>0</v>
      </c>
      <c r="F14" s="105">
        <f t="shared" si="5"/>
        <v>61.600000000000009</v>
      </c>
      <c r="G14" s="105">
        <f t="shared" si="6"/>
        <v>23.232000000000003</v>
      </c>
      <c r="H14" s="132" t="str">
        <f>IF(G14&lt;E14,"Trop E85",IF((G14-E14)&lt;=$C14,G14-E14,"Trop SP"))</f>
        <v>Trop SP</v>
      </c>
      <c r="I14" s="105" t="str">
        <f t="shared" ref="I14:I15" si="18">IF(ISNUMBER(H14),$C14-H14,"Attendre")</f>
        <v>Attendre</v>
      </c>
      <c r="J14" s="96"/>
      <c r="K14" s="105">
        <f>$B14*O$2</f>
        <v>20.328000000000003</v>
      </c>
      <c r="L14" s="105">
        <f t="shared" si="7"/>
        <v>41.272000000000006</v>
      </c>
      <c r="M14" s="105">
        <f t="shared" si="8"/>
        <v>46.464000000000006</v>
      </c>
      <c r="N14" s="106" t="str">
        <f>IF(M14&lt;K14,"Trop E85",IF((M14-K14)&lt;=$C14,M14-K14,"Trop SP"))</f>
        <v>Trop SP</v>
      </c>
      <c r="O14" s="105" t="str">
        <f t="shared" ref="O14:O15" si="19">IF(ISNUMBER(N14),$C14-N14,"Attendre")</f>
        <v>Attendre</v>
      </c>
      <c r="P14" s="96"/>
      <c r="Q14" s="105">
        <f>$B14*U$2</f>
        <v>40.656000000000006</v>
      </c>
      <c r="R14" s="105">
        <f t="shared" si="9"/>
        <v>20.944000000000003</v>
      </c>
      <c r="S14" s="105">
        <f t="shared" si="10"/>
        <v>56.320000000000007</v>
      </c>
      <c r="T14" s="106" t="str">
        <f>IF(S14&lt;Q14,"Trop E85",IF((S14-Q14)&lt;=$C14,S14-Q14,"Trop SP"))</f>
        <v>Trop SP</v>
      </c>
      <c r="U14" s="120" t="str">
        <f t="shared" ref="U14:U15" si="20">IF(ISNUMBER(T14),$C14-T14,"Attendre")</f>
        <v>Attendre</v>
      </c>
      <c r="W14" s="169">
        <f>$B14*AA$2</f>
        <v>49.280000000000008</v>
      </c>
      <c r="X14" s="105">
        <f t="shared" si="11"/>
        <v>12.32</v>
      </c>
      <c r="Y14" s="105">
        <f t="shared" si="12"/>
        <v>56.320000000000007</v>
      </c>
      <c r="Z14" s="176">
        <f>IF(Y14&lt;W14,"Trop E85",IF((Y14-W14)&lt;=$C14,Y14-W14,"Trop SP"))</f>
        <v>7.0399999999999991</v>
      </c>
      <c r="AA14" s="170">
        <f t="shared" ref="AA14:AA15" si="21">IF(ISNUMBER(Z14),$C14-Z14,"Attendre")</f>
        <v>1.759999999999998</v>
      </c>
      <c r="AC14" s="228">
        <f>$B14*AH$2</f>
        <v>49.280000000000008</v>
      </c>
      <c r="AD14" s="105">
        <f t="shared" si="13"/>
        <v>12.32</v>
      </c>
      <c r="AE14" s="105">
        <f t="shared" si="14"/>
        <v>8.8000000000000007</v>
      </c>
      <c r="AF14" s="238">
        <f t="shared" si="15"/>
        <v>1</v>
      </c>
      <c r="AG14" s="106">
        <f t="shared" si="16"/>
        <v>0</v>
      </c>
      <c r="AH14" s="105">
        <f t="shared" si="17"/>
        <v>8.8000000000000007</v>
      </c>
      <c r="AI14" s="229">
        <f t="shared" si="4"/>
        <v>0.70000000000000007</v>
      </c>
    </row>
    <row r="15" spans="1:35" ht="14.65" thickBot="1" x14ac:dyDescent="0.5">
      <c r="A15" s="30">
        <v>1</v>
      </c>
      <c r="B15" s="31">
        <f>A15*A$3</f>
        <v>70.400000000000006</v>
      </c>
      <c r="C15" s="31">
        <f>A$3-B15</f>
        <v>0</v>
      </c>
      <c r="E15" s="121">
        <f>$B15*I$2</f>
        <v>0</v>
      </c>
      <c r="F15" s="122">
        <f t="shared" si="5"/>
        <v>70.400000000000006</v>
      </c>
      <c r="G15" s="122">
        <f t="shared" si="6"/>
        <v>23.232000000000003</v>
      </c>
      <c r="H15" s="133" t="str">
        <f>IF(G15&lt;E15,"Trop E85",IF((G15-E15)&lt;=$C15,G15-E15,"Trop SP"))</f>
        <v>Trop SP</v>
      </c>
      <c r="I15" s="122" t="str">
        <f t="shared" si="18"/>
        <v>Attendre</v>
      </c>
      <c r="J15" s="124"/>
      <c r="K15" s="122">
        <f>$B15*O$2</f>
        <v>23.232000000000003</v>
      </c>
      <c r="L15" s="122">
        <f t="shared" si="7"/>
        <v>47.168000000000006</v>
      </c>
      <c r="M15" s="122">
        <f t="shared" si="8"/>
        <v>46.464000000000006</v>
      </c>
      <c r="N15" s="123" t="str">
        <f>IF(M15&lt;K15,"Trop E85",IF((M15-K15)&lt;=$C15,M15-K15,"Trop SP"))</f>
        <v>Trop SP</v>
      </c>
      <c r="O15" s="122" t="str">
        <f t="shared" si="19"/>
        <v>Attendre</v>
      </c>
      <c r="P15" s="124"/>
      <c r="Q15" s="122">
        <f>$B15*U$2</f>
        <v>46.464000000000006</v>
      </c>
      <c r="R15" s="122">
        <f t="shared" si="9"/>
        <v>23.936</v>
      </c>
      <c r="S15" s="122">
        <f t="shared" si="10"/>
        <v>56.320000000000007</v>
      </c>
      <c r="T15" s="123" t="str">
        <f>IF(S15&lt;Q15,"Trop E85",IF((S15-Q15)&lt;=$C15,S15-Q15,"Trop SP"))</f>
        <v>Trop SP</v>
      </c>
      <c r="U15" s="125" t="str">
        <f t="shared" si="20"/>
        <v>Attendre</v>
      </c>
      <c r="W15" s="171">
        <f>$B15*AA$2</f>
        <v>56.320000000000007</v>
      </c>
      <c r="X15" s="172">
        <f t="shared" si="11"/>
        <v>14.079999999999998</v>
      </c>
      <c r="Y15" s="172">
        <f t="shared" si="12"/>
        <v>56.320000000000007</v>
      </c>
      <c r="Z15" s="177">
        <f>IF(Y15&lt;W15,"Trop E85",IF((Y15-W15)&lt;=$C15,Y15-W15,"Trop SP"))</f>
        <v>0</v>
      </c>
      <c r="AA15" s="173">
        <f t="shared" si="21"/>
        <v>0</v>
      </c>
      <c r="AC15" s="230">
        <f>$B15*AH$2</f>
        <v>56.320000000000007</v>
      </c>
      <c r="AD15" s="231">
        <f t="shared" si="13"/>
        <v>14.079999999999998</v>
      </c>
      <c r="AE15" s="231">
        <f t="shared" si="14"/>
        <v>0</v>
      </c>
      <c r="AF15" s="239">
        <f t="shared" si="15"/>
        <v>1</v>
      </c>
      <c r="AG15" s="232" t="str">
        <f t="shared" si="16"/>
        <v>Déjà</v>
      </c>
      <c r="AH15" s="231" t="str">
        <f t="shared" si="17"/>
        <v>plein…</v>
      </c>
      <c r="AI15" s="233">
        <f>IF(ISNUMBER(AG15),(AC15+AG15)/(AC15+AG15+AD15+AH15),AH$2)</f>
        <v>0.8</v>
      </c>
    </row>
    <row r="16" spans="1:35" ht="14.65" thickTop="1" x14ac:dyDescent="0.45"/>
    <row r="17" spans="1:35" ht="14.65" thickBot="1" x14ac:dyDescent="0.5"/>
    <row r="18" spans="1:35" ht="14.65" thickTop="1" x14ac:dyDescent="0.45">
      <c r="A18" s="94"/>
      <c r="E18" s="135" t="s">
        <v>38</v>
      </c>
      <c r="F18" s="136"/>
      <c r="G18" s="136"/>
      <c r="H18" s="136"/>
      <c r="I18" s="136"/>
      <c r="J18" s="137"/>
      <c r="K18" s="136" t="s">
        <v>24</v>
      </c>
      <c r="L18" s="136"/>
      <c r="M18" s="136"/>
      <c r="N18" s="136"/>
      <c r="O18" s="138"/>
      <c r="Q18" s="199" t="s">
        <v>39</v>
      </c>
      <c r="R18" s="200"/>
      <c r="S18" s="200"/>
      <c r="T18" s="200"/>
      <c r="U18" s="201"/>
      <c r="W18" s="178" t="s">
        <v>40</v>
      </c>
      <c r="X18" s="179"/>
      <c r="Y18" s="179"/>
      <c r="Z18" s="179"/>
      <c r="AA18" s="180"/>
      <c r="AC18" s="217" t="s">
        <v>33</v>
      </c>
      <c r="AD18" s="218"/>
      <c r="AE18" s="218"/>
      <c r="AF18" s="218"/>
      <c r="AG18" s="218"/>
      <c r="AH18" s="218"/>
      <c r="AI18" s="219"/>
    </row>
    <row r="19" spans="1:35" x14ac:dyDescent="0.45">
      <c r="A19" s="94"/>
      <c r="E19" s="139"/>
      <c r="F19" s="96"/>
      <c r="G19" s="96"/>
      <c r="H19" s="153" t="s">
        <v>30</v>
      </c>
      <c r="I19" s="97">
        <v>0.4</v>
      </c>
      <c r="J19" s="96"/>
      <c r="K19" s="96"/>
      <c r="L19" s="96"/>
      <c r="M19" s="96"/>
      <c r="N19" s="98" t="s">
        <v>30</v>
      </c>
      <c r="O19" s="140">
        <f>I20</f>
        <v>0.66</v>
      </c>
      <c r="Q19" s="202"/>
      <c r="R19" s="96"/>
      <c r="S19" s="96"/>
      <c r="T19" s="204" t="s">
        <v>30</v>
      </c>
      <c r="U19" s="203">
        <v>0.5</v>
      </c>
      <c r="W19" s="181"/>
      <c r="X19" s="96"/>
      <c r="Y19" s="96"/>
      <c r="Z19" s="194" t="s">
        <v>30</v>
      </c>
      <c r="AA19" s="182">
        <v>0.6</v>
      </c>
      <c r="AC19" s="220"/>
      <c r="AD19" s="96"/>
      <c r="AE19" s="96"/>
      <c r="AF19" s="220"/>
      <c r="AG19" s="98" t="s">
        <v>30</v>
      </c>
      <c r="AH19" s="97">
        <v>0.66</v>
      </c>
      <c r="AI19" s="221"/>
    </row>
    <row r="20" spans="1:35" x14ac:dyDescent="0.45">
      <c r="A20" s="95"/>
      <c r="E20" s="139"/>
      <c r="F20" s="96"/>
      <c r="G20" s="96"/>
      <c r="H20" s="153" t="s">
        <v>22</v>
      </c>
      <c r="I20" s="97">
        <v>0.66</v>
      </c>
      <c r="J20" s="96"/>
      <c r="K20" s="96"/>
      <c r="L20" s="96"/>
      <c r="M20" s="96"/>
      <c r="N20" s="98" t="s">
        <v>22</v>
      </c>
      <c r="O20" s="140">
        <v>0.8</v>
      </c>
      <c r="Q20" s="202"/>
      <c r="R20" s="96"/>
      <c r="S20" s="96"/>
      <c r="T20" s="204" t="s">
        <v>22</v>
      </c>
      <c r="U20" s="203">
        <v>0.8</v>
      </c>
      <c r="W20" s="181"/>
      <c r="X20" s="96"/>
      <c r="Y20" s="96"/>
      <c r="Z20" s="194" t="s">
        <v>22</v>
      </c>
      <c r="AA20" s="182">
        <v>0.8</v>
      </c>
      <c r="AC20" s="220"/>
      <c r="AD20" s="96"/>
      <c r="AE20" s="96"/>
      <c r="AF20" s="220"/>
      <c r="AG20" s="98" t="s">
        <v>22</v>
      </c>
      <c r="AH20" s="97">
        <v>0.33</v>
      </c>
      <c r="AI20" s="221" t="s">
        <v>35</v>
      </c>
    </row>
    <row r="21" spans="1:35" x14ac:dyDescent="0.45">
      <c r="E21" s="141"/>
      <c r="F21" s="98"/>
      <c r="G21" s="96"/>
      <c r="H21" s="153" t="s">
        <v>31</v>
      </c>
      <c r="I21" s="30">
        <v>1</v>
      </c>
      <c r="J21" s="96"/>
      <c r="K21" s="98"/>
      <c r="L21" s="98"/>
      <c r="M21" s="96"/>
      <c r="N21" s="98" t="s">
        <v>31</v>
      </c>
      <c r="O21" s="142">
        <v>1</v>
      </c>
      <c r="Q21" s="204"/>
      <c r="R21" s="98"/>
      <c r="S21" s="96"/>
      <c r="T21" s="204" t="s">
        <v>31</v>
      </c>
      <c r="U21" s="205">
        <v>1</v>
      </c>
      <c r="W21" s="183"/>
      <c r="X21" s="98"/>
      <c r="Y21" s="96"/>
      <c r="Z21" s="194" t="s">
        <v>31</v>
      </c>
      <c r="AA21" s="184">
        <v>1</v>
      </c>
      <c r="AC21" s="222"/>
      <c r="AD21" s="98"/>
      <c r="AE21" s="96"/>
      <c r="AF21" s="235"/>
      <c r="AG21" s="126"/>
      <c r="AH21" s="30"/>
      <c r="AI21" s="223"/>
    </row>
    <row r="22" spans="1:35" x14ac:dyDescent="0.45">
      <c r="A22" s="90" t="s">
        <v>12</v>
      </c>
      <c r="E22" s="143" t="s">
        <v>27</v>
      </c>
      <c r="F22" s="99"/>
      <c r="G22" s="127" t="s">
        <v>41</v>
      </c>
      <c r="H22" s="154" t="s">
        <v>34</v>
      </c>
      <c r="I22" s="100"/>
      <c r="J22" s="96"/>
      <c r="K22" s="99" t="s">
        <v>27</v>
      </c>
      <c r="L22" s="99"/>
      <c r="M22" s="127" t="s">
        <v>41</v>
      </c>
      <c r="N22" s="100" t="s">
        <v>34</v>
      </c>
      <c r="O22" s="144"/>
      <c r="Q22" s="206" t="s">
        <v>27</v>
      </c>
      <c r="R22" s="99"/>
      <c r="S22" s="127" t="s">
        <v>41</v>
      </c>
      <c r="T22" s="215" t="s">
        <v>34</v>
      </c>
      <c r="U22" s="207"/>
      <c r="W22" s="185" t="s">
        <v>27</v>
      </c>
      <c r="X22" s="99"/>
      <c r="Y22" s="127" t="s">
        <v>41</v>
      </c>
      <c r="Z22" s="195" t="s">
        <v>34</v>
      </c>
      <c r="AA22" s="186"/>
      <c r="AC22" s="224" t="s">
        <v>27</v>
      </c>
      <c r="AD22" s="99"/>
      <c r="AE22" s="234" t="s">
        <v>37</v>
      </c>
      <c r="AF22" s="236" t="s">
        <v>34</v>
      </c>
      <c r="AG22" s="100"/>
      <c r="AH22" s="100"/>
      <c r="AI22" s="225"/>
    </row>
    <row r="23" spans="1:35" x14ac:dyDescent="0.45">
      <c r="A23" s="90"/>
      <c r="B23" s="15" t="s">
        <v>14</v>
      </c>
      <c r="C23" t="s">
        <v>13</v>
      </c>
      <c r="E23" s="145" t="s">
        <v>25</v>
      </c>
      <c r="F23" s="101" t="s">
        <v>26</v>
      </c>
      <c r="G23" s="127"/>
      <c r="H23" s="155" t="s">
        <v>3</v>
      </c>
      <c r="I23" s="103" t="s">
        <v>2</v>
      </c>
      <c r="J23" s="96"/>
      <c r="K23" s="104" t="s">
        <v>25</v>
      </c>
      <c r="L23" s="101" t="s">
        <v>26</v>
      </c>
      <c r="M23" s="127"/>
      <c r="N23" s="102" t="s">
        <v>3</v>
      </c>
      <c r="O23" s="146" t="s">
        <v>2</v>
      </c>
      <c r="Q23" s="208" t="s">
        <v>25</v>
      </c>
      <c r="R23" s="101" t="s">
        <v>26</v>
      </c>
      <c r="S23" s="127"/>
      <c r="T23" s="216" t="s">
        <v>3</v>
      </c>
      <c r="U23" s="209" t="s">
        <v>2</v>
      </c>
      <c r="W23" s="187" t="s">
        <v>25</v>
      </c>
      <c r="X23" s="101" t="s">
        <v>26</v>
      </c>
      <c r="Y23" s="127"/>
      <c r="Z23" s="196" t="s">
        <v>3</v>
      </c>
      <c r="AA23" s="188" t="s">
        <v>2</v>
      </c>
      <c r="AC23" s="226" t="s">
        <v>25</v>
      </c>
      <c r="AD23" s="101" t="s">
        <v>26</v>
      </c>
      <c r="AE23" s="234"/>
      <c r="AF23" s="237" t="s">
        <v>29</v>
      </c>
      <c r="AG23" s="102" t="s">
        <v>3</v>
      </c>
      <c r="AH23" s="103" t="s">
        <v>2</v>
      </c>
      <c r="AI23" s="227" t="s">
        <v>36</v>
      </c>
    </row>
    <row r="24" spans="1:35" x14ac:dyDescent="0.45">
      <c r="A24" s="30">
        <v>0</v>
      </c>
      <c r="B24" s="31">
        <f>A24*A$3</f>
        <v>0</v>
      </c>
      <c r="C24" s="31">
        <f>A$3-B24</f>
        <v>70.400000000000006</v>
      </c>
      <c r="E24" s="147">
        <f>$B24*I$19</f>
        <v>0</v>
      </c>
      <c r="F24" s="105">
        <f>$B24-E24</f>
        <v>0</v>
      </c>
      <c r="G24" s="105">
        <f>I$21*I$20*$A$3</f>
        <v>46.464000000000006</v>
      </c>
      <c r="H24" s="156">
        <f>IF(G24&lt;E24,"Trop E85",IF((G24-E24)&lt;=$C24,G24-E24,"Trop SP"))</f>
        <v>46.464000000000006</v>
      </c>
      <c r="I24" s="105">
        <f t="shared" ref="I24:I32" si="22">IF(ISNUMBER(H24),$C24-H24,"Attendre")</f>
        <v>23.936</v>
      </c>
      <c r="J24" s="96"/>
      <c r="K24" s="105">
        <f>$B24*O$19</f>
        <v>0</v>
      </c>
      <c r="L24" s="105">
        <f>$B24-K24</f>
        <v>0</v>
      </c>
      <c r="M24" s="105">
        <f>O$21*O$20*$A$3</f>
        <v>56.320000000000007</v>
      </c>
      <c r="N24" s="105">
        <f>IF(M24&lt;K24,"Trop E85",IF((M24-K24)&lt;=$C24,M24-K24,"Trop SP"))</f>
        <v>56.320000000000007</v>
      </c>
      <c r="O24" s="148">
        <f t="shared" ref="O24:O32" si="23">IF(ISNUMBER(N24),$C24-N24,"Attendre")</f>
        <v>14.079999999999998</v>
      </c>
      <c r="Q24" s="210">
        <f>$B24*U$19</f>
        <v>0</v>
      </c>
      <c r="R24" s="105">
        <f>$B24-Q24</f>
        <v>0</v>
      </c>
      <c r="S24" s="105">
        <f>U$21*U$20*$A$3</f>
        <v>56.320000000000007</v>
      </c>
      <c r="T24" s="210">
        <f>IF(S24&lt;Q24,"Trop E85",IF((S24-Q24)&lt;=$C24,S24-Q24,"Trop SP"))</f>
        <v>56.320000000000007</v>
      </c>
      <c r="U24" s="211">
        <f t="shared" ref="U24:U32" si="24">IF(ISNUMBER(T24),$C24-T24,"Attendre")</f>
        <v>14.079999999999998</v>
      </c>
      <c r="W24" s="189">
        <f>$B24*AA$19</f>
        <v>0</v>
      </c>
      <c r="X24" s="105">
        <f>$B24-W24</f>
        <v>0</v>
      </c>
      <c r="Y24" s="105">
        <f>AA$21*AA$20*$A$3</f>
        <v>56.320000000000007</v>
      </c>
      <c r="Z24" s="197">
        <f>IF(Y24&lt;W24,"Trop E85",IF((Y24-W24)&lt;=$C24,Y24-W24,"Trop SP"))</f>
        <v>56.320000000000007</v>
      </c>
      <c r="AA24" s="190">
        <f t="shared" ref="AA24:AA32" si="25">IF(ISNUMBER(Z24),$C24-Z24,"Attendre")</f>
        <v>14.079999999999998</v>
      </c>
      <c r="AC24" s="228">
        <f>$B24*AH$19</f>
        <v>0</v>
      </c>
      <c r="AD24" s="105">
        <f>$B24-AC24</f>
        <v>0</v>
      </c>
      <c r="AE24" s="105">
        <f>IF(((1-AH$20)/AH$20*AC24-AD24)&gt;((1-$A24)*$A$3),(1-$A24)*$A$3,(1-AH$20)/AH$20*AC24-AD24)</f>
        <v>0</v>
      </c>
      <c r="AF24" s="238">
        <f>(AC24+AD24+AE24)/$A$3</f>
        <v>0</v>
      </c>
      <c r="AG24" s="106" t="str">
        <f>IF(A24=1,"Déjà",IF(AF24&gt;A24,0,"!!! Plein"))</f>
        <v>!!! Plein</v>
      </c>
      <c r="AH24" s="105" t="str">
        <f>IF(AG24="!!! Plein"," avant !!!",IF(AG24="Déjà","plein…",AE24))</f>
        <v xml:space="preserve"> avant !!!</v>
      </c>
      <c r="AI24" s="229">
        <f>IF(ISNUMBER(AG24),(AC24+AG24)/(AC24+AG24+AD24+AH24),AH$19)</f>
        <v>0.66</v>
      </c>
    </row>
    <row r="25" spans="1:35" x14ac:dyDescent="0.45">
      <c r="A25" s="30">
        <v>0.125</v>
      </c>
      <c r="B25" s="31">
        <f>A25*A$3</f>
        <v>8.8000000000000007</v>
      </c>
      <c r="C25" s="31">
        <f>A$3-B25</f>
        <v>61.600000000000009</v>
      </c>
      <c r="E25" s="147">
        <f t="shared" ref="E25:E32" si="26">$B25*I$19</f>
        <v>3.5200000000000005</v>
      </c>
      <c r="F25" s="105">
        <f t="shared" ref="F25:F32" si="27">$B25-E25</f>
        <v>5.28</v>
      </c>
      <c r="G25" s="105">
        <f t="shared" ref="G25:G32" si="28">I$21*I$20*$A$3</f>
        <v>46.464000000000006</v>
      </c>
      <c r="H25" s="156">
        <f t="shared" ref="H25:H32" si="29">IF(G25&lt;E25,"Trop E85",IF((G25-E25)&lt;=$C25,G25-E25,"Trop SP"))</f>
        <v>42.944000000000003</v>
      </c>
      <c r="I25" s="105">
        <f t="shared" si="22"/>
        <v>18.656000000000006</v>
      </c>
      <c r="J25" s="96"/>
      <c r="K25" s="105">
        <f t="shared" ref="K25:K32" si="30">$B25*O$19</f>
        <v>5.8080000000000007</v>
      </c>
      <c r="L25" s="105">
        <f t="shared" ref="L25:L32" si="31">$B25-K25</f>
        <v>2.992</v>
      </c>
      <c r="M25" s="105">
        <f t="shared" ref="M25:M32" si="32">O$21*O$20*$A$3</f>
        <v>56.320000000000007</v>
      </c>
      <c r="N25" s="105">
        <f t="shared" ref="N25:N32" si="33">IF(M25&lt;K25,"Trop E85",IF((M25-K25)&lt;=$C25,M25-K25,"Trop SP"))</f>
        <v>50.512000000000008</v>
      </c>
      <c r="O25" s="148">
        <f t="shared" si="23"/>
        <v>11.088000000000001</v>
      </c>
      <c r="Q25" s="210">
        <f t="shared" ref="Q25:Q32" si="34">$B25*U$19</f>
        <v>4.4000000000000004</v>
      </c>
      <c r="R25" s="105">
        <f t="shared" ref="R25:R32" si="35">$B25-Q25</f>
        <v>4.4000000000000004</v>
      </c>
      <c r="S25" s="105">
        <f t="shared" ref="S25:S32" si="36">U$21*U$20*$A$3</f>
        <v>56.320000000000007</v>
      </c>
      <c r="T25" s="210">
        <f t="shared" ref="T25:T32" si="37">IF(S25&lt;Q25,"Trop E85",IF((S25-Q25)&lt;=$C25,S25-Q25,"Trop SP"))</f>
        <v>51.920000000000009</v>
      </c>
      <c r="U25" s="211">
        <f t="shared" si="24"/>
        <v>9.68</v>
      </c>
      <c r="W25" s="189">
        <f t="shared" ref="W25:W32" si="38">$B25*AA$19</f>
        <v>5.28</v>
      </c>
      <c r="X25" s="105">
        <f t="shared" ref="X25:X32" si="39">$B25-W25</f>
        <v>3.5200000000000005</v>
      </c>
      <c r="Y25" s="105">
        <f t="shared" ref="Y25:Y32" si="40">AA$21*AA$20*$A$3</f>
        <v>56.320000000000007</v>
      </c>
      <c r="Z25" s="197">
        <f t="shared" ref="Z25:Z32" si="41">IF(Y25&lt;W25,"Trop E85",IF((Y25-W25)&lt;=$C25,Y25-W25,"Trop SP"))</f>
        <v>51.040000000000006</v>
      </c>
      <c r="AA25" s="190">
        <f t="shared" si="25"/>
        <v>10.560000000000002</v>
      </c>
      <c r="AC25" s="228">
        <f t="shared" ref="AC25:AC32" si="42">$B25*AH$19</f>
        <v>5.8080000000000007</v>
      </c>
      <c r="AD25" s="105">
        <f t="shared" ref="AD25:AD32" si="43">$B25-AC25</f>
        <v>2.992</v>
      </c>
      <c r="AE25" s="105">
        <f t="shared" ref="AE25:AE32" si="44">IF(((1-AH$20)/AH$20*AC25-AD25)&gt;((1-$A25)*$A$3),(1-$A25)*$A$3,(1-AH$20)/AH$20*AC25-AD25)</f>
        <v>8.7999999999999972</v>
      </c>
      <c r="AF25" s="238">
        <f t="shared" ref="AF25:AF32" si="45">(AC25+AD25+AE25)/$A$3</f>
        <v>0.24999999999999994</v>
      </c>
      <c r="AG25" s="106">
        <f t="shared" ref="AG25:AG32" si="46">IF(A25=1,"Déjà",IF(AF25&gt;A25,0,"!!! Plein"))</f>
        <v>0</v>
      </c>
      <c r="AH25" s="105">
        <f t="shared" ref="AH25:AH32" si="47">IF(AG25="!!! Plein"," avant !!!",IF(AG25="Déjà","plein…",AE25))</f>
        <v>8.7999999999999972</v>
      </c>
      <c r="AI25" s="229">
        <f t="shared" ref="AI25:AI32" si="48">IF(ISNUMBER(AG25),(AC25+AG25)/(AC25+AG25+AD25+AH25),AH$19)</f>
        <v>0.33000000000000007</v>
      </c>
    </row>
    <row r="26" spans="1:35" x14ac:dyDescent="0.45">
      <c r="A26" s="30">
        <v>0.25</v>
      </c>
      <c r="B26" s="31">
        <f>A26*A$3</f>
        <v>17.600000000000001</v>
      </c>
      <c r="C26" s="31">
        <f>A$3-B26</f>
        <v>52.800000000000004</v>
      </c>
      <c r="E26" s="147">
        <f t="shared" si="26"/>
        <v>7.0400000000000009</v>
      </c>
      <c r="F26" s="105">
        <f t="shared" si="27"/>
        <v>10.56</v>
      </c>
      <c r="G26" s="105">
        <f t="shared" si="28"/>
        <v>46.464000000000006</v>
      </c>
      <c r="H26" s="156">
        <f t="shared" si="29"/>
        <v>39.424000000000007</v>
      </c>
      <c r="I26" s="105">
        <f t="shared" si="22"/>
        <v>13.375999999999998</v>
      </c>
      <c r="J26" s="96"/>
      <c r="K26" s="105">
        <f t="shared" si="30"/>
        <v>11.616000000000001</v>
      </c>
      <c r="L26" s="105">
        <f t="shared" si="31"/>
        <v>5.984</v>
      </c>
      <c r="M26" s="105">
        <f t="shared" si="32"/>
        <v>56.320000000000007</v>
      </c>
      <c r="N26" s="105">
        <f t="shared" si="33"/>
        <v>44.704000000000008</v>
      </c>
      <c r="O26" s="148">
        <f t="shared" si="23"/>
        <v>8.0959999999999965</v>
      </c>
      <c r="Q26" s="210">
        <f t="shared" si="34"/>
        <v>8.8000000000000007</v>
      </c>
      <c r="R26" s="105">
        <f t="shared" si="35"/>
        <v>8.8000000000000007</v>
      </c>
      <c r="S26" s="105">
        <f t="shared" si="36"/>
        <v>56.320000000000007</v>
      </c>
      <c r="T26" s="210">
        <f t="shared" si="37"/>
        <v>47.52000000000001</v>
      </c>
      <c r="U26" s="211">
        <f t="shared" si="24"/>
        <v>5.279999999999994</v>
      </c>
      <c r="W26" s="189">
        <f t="shared" si="38"/>
        <v>10.56</v>
      </c>
      <c r="X26" s="105">
        <f t="shared" si="39"/>
        <v>7.0400000000000009</v>
      </c>
      <c r="Y26" s="105">
        <f t="shared" si="40"/>
        <v>56.320000000000007</v>
      </c>
      <c r="Z26" s="197">
        <f t="shared" si="41"/>
        <v>45.760000000000005</v>
      </c>
      <c r="AA26" s="190">
        <f t="shared" si="25"/>
        <v>7.0399999999999991</v>
      </c>
      <c r="AC26" s="228">
        <f t="shared" si="42"/>
        <v>11.616000000000001</v>
      </c>
      <c r="AD26" s="105">
        <f t="shared" si="43"/>
        <v>5.984</v>
      </c>
      <c r="AE26" s="105">
        <f t="shared" si="44"/>
        <v>17.599999999999994</v>
      </c>
      <c r="AF26" s="238">
        <f t="shared" si="45"/>
        <v>0.49999999999999989</v>
      </c>
      <c r="AG26" s="106">
        <f t="shared" si="46"/>
        <v>0</v>
      </c>
      <c r="AH26" s="105">
        <f t="shared" si="47"/>
        <v>17.599999999999994</v>
      </c>
      <c r="AI26" s="229">
        <f t="shared" si="48"/>
        <v>0.33000000000000007</v>
      </c>
    </row>
    <row r="27" spans="1:35" x14ac:dyDescent="0.45">
      <c r="A27" s="30">
        <v>0.375</v>
      </c>
      <c r="B27" s="31">
        <f>A27*A$3</f>
        <v>26.400000000000002</v>
      </c>
      <c r="C27" s="31">
        <f>A$3-B27</f>
        <v>44</v>
      </c>
      <c r="E27" s="147">
        <f t="shared" si="26"/>
        <v>10.560000000000002</v>
      </c>
      <c r="F27" s="105">
        <f t="shared" si="27"/>
        <v>15.84</v>
      </c>
      <c r="G27" s="105">
        <f t="shared" si="28"/>
        <v>46.464000000000006</v>
      </c>
      <c r="H27" s="156">
        <f t="shared" si="29"/>
        <v>35.904000000000003</v>
      </c>
      <c r="I27" s="105">
        <f t="shared" si="22"/>
        <v>8.0959999999999965</v>
      </c>
      <c r="J27" s="96"/>
      <c r="K27" s="105">
        <f t="shared" si="30"/>
        <v>17.424000000000003</v>
      </c>
      <c r="L27" s="105">
        <f t="shared" si="31"/>
        <v>8.9759999999999991</v>
      </c>
      <c r="M27" s="105">
        <f t="shared" si="32"/>
        <v>56.320000000000007</v>
      </c>
      <c r="N27" s="105">
        <f t="shared" si="33"/>
        <v>38.896000000000001</v>
      </c>
      <c r="O27" s="148">
        <f t="shared" si="23"/>
        <v>5.1039999999999992</v>
      </c>
      <c r="Q27" s="210">
        <f t="shared" si="34"/>
        <v>13.200000000000001</v>
      </c>
      <c r="R27" s="105">
        <f t="shared" si="35"/>
        <v>13.200000000000001</v>
      </c>
      <c r="S27" s="105">
        <f t="shared" si="36"/>
        <v>56.320000000000007</v>
      </c>
      <c r="T27" s="210">
        <f t="shared" si="37"/>
        <v>43.120000000000005</v>
      </c>
      <c r="U27" s="211">
        <f t="shared" si="24"/>
        <v>0.87999999999999545</v>
      </c>
      <c r="W27" s="189">
        <f t="shared" si="38"/>
        <v>15.84</v>
      </c>
      <c r="X27" s="105">
        <f t="shared" si="39"/>
        <v>10.560000000000002</v>
      </c>
      <c r="Y27" s="105">
        <f t="shared" si="40"/>
        <v>56.320000000000007</v>
      </c>
      <c r="Z27" s="197">
        <f t="shared" si="41"/>
        <v>40.480000000000004</v>
      </c>
      <c r="AA27" s="190">
        <f t="shared" si="25"/>
        <v>3.519999999999996</v>
      </c>
      <c r="AC27" s="228">
        <f t="shared" si="42"/>
        <v>17.424000000000003</v>
      </c>
      <c r="AD27" s="105">
        <f t="shared" si="43"/>
        <v>8.9759999999999991</v>
      </c>
      <c r="AE27" s="105">
        <f t="shared" si="44"/>
        <v>26.4</v>
      </c>
      <c r="AF27" s="238">
        <f t="shared" si="45"/>
        <v>0.74999999999999989</v>
      </c>
      <c r="AG27" s="106">
        <f t="shared" si="46"/>
        <v>0</v>
      </c>
      <c r="AH27" s="105">
        <f t="shared" si="47"/>
        <v>26.4</v>
      </c>
      <c r="AI27" s="229">
        <f t="shared" si="48"/>
        <v>0.33000000000000007</v>
      </c>
    </row>
    <row r="28" spans="1:35" x14ac:dyDescent="0.45">
      <c r="A28" s="30">
        <v>0.5</v>
      </c>
      <c r="B28" s="31">
        <f>A28*A$3</f>
        <v>35.200000000000003</v>
      </c>
      <c r="C28" s="31">
        <f>A$3-B28</f>
        <v>35.200000000000003</v>
      </c>
      <c r="E28" s="147">
        <f t="shared" si="26"/>
        <v>14.080000000000002</v>
      </c>
      <c r="F28" s="105">
        <f t="shared" si="27"/>
        <v>21.12</v>
      </c>
      <c r="G28" s="105">
        <f t="shared" si="28"/>
        <v>46.464000000000006</v>
      </c>
      <c r="H28" s="156">
        <f t="shared" si="29"/>
        <v>32.384</v>
      </c>
      <c r="I28" s="105">
        <f t="shared" si="22"/>
        <v>2.8160000000000025</v>
      </c>
      <c r="J28" s="96"/>
      <c r="K28" s="105">
        <f t="shared" si="30"/>
        <v>23.232000000000003</v>
      </c>
      <c r="L28" s="105">
        <f t="shared" si="31"/>
        <v>11.968</v>
      </c>
      <c r="M28" s="105">
        <f t="shared" si="32"/>
        <v>56.320000000000007</v>
      </c>
      <c r="N28" s="105">
        <f t="shared" si="33"/>
        <v>33.088000000000008</v>
      </c>
      <c r="O28" s="148">
        <f t="shared" si="23"/>
        <v>2.1119999999999948</v>
      </c>
      <c r="Q28" s="210">
        <f t="shared" si="34"/>
        <v>17.600000000000001</v>
      </c>
      <c r="R28" s="105">
        <f t="shared" si="35"/>
        <v>17.600000000000001</v>
      </c>
      <c r="S28" s="105">
        <f t="shared" si="36"/>
        <v>56.320000000000007</v>
      </c>
      <c r="T28" s="210" t="str">
        <f t="shared" si="37"/>
        <v>Trop SP</v>
      </c>
      <c r="U28" s="211" t="str">
        <f t="shared" si="24"/>
        <v>Attendre</v>
      </c>
      <c r="W28" s="189">
        <f t="shared" si="38"/>
        <v>21.12</v>
      </c>
      <c r="X28" s="105">
        <f t="shared" si="39"/>
        <v>14.080000000000002</v>
      </c>
      <c r="Y28" s="105">
        <f t="shared" si="40"/>
        <v>56.320000000000007</v>
      </c>
      <c r="Z28" s="197">
        <f t="shared" si="41"/>
        <v>35.200000000000003</v>
      </c>
      <c r="AA28" s="190">
        <f t="shared" si="25"/>
        <v>0</v>
      </c>
      <c r="AC28" s="228">
        <f t="shared" si="42"/>
        <v>23.232000000000003</v>
      </c>
      <c r="AD28" s="105">
        <f t="shared" si="43"/>
        <v>11.968</v>
      </c>
      <c r="AE28" s="105">
        <f t="shared" si="44"/>
        <v>35.199999999999989</v>
      </c>
      <c r="AF28" s="238">
        <f t="shared" si="45"/>
        <v>0.99999999999999978</v>
      </c>
      <c r="AG28" s="106">
        <f t="shared" si="46"/>
        <v>0</v>
      </c>
      <c r="AH28" s="105">
        <f t="shared" si="47"/>
        <v>35.199999999999989</v>
      </c>
      <c r="AI28" s="229">
        <f t="shared" si="48"/>
        <v>0.33000000000000007</v>
      </c>
    </row>
    <row r="29" spans="1:35" x14ac:dyDescent="0.45">
      <c r="A29" s="30">
        <v>0.625</v>
      </c>
      <c r="B29" s="31">
        <f>A29*A$3</f>
        <v>44</v>
      </c>
      <c r="C29" s="31">
        <f>A$3-B29</f>
        <v>26.400000000000006</v>
      </c>
      <c r="E29" s="147">
        <f t="shared" si="26"/>
        <v>17.600000000000001</v>
      </c>
      <c r="F29" s="105">
        <f t="shared" si="27"/>
        <v>26.4</v>
      </c>
      <c r="G29" s="105">
        <f t="shared" si="28"/>
        <v>46.464000000000006</v>
      </c>
      <c r="H29" s="156" t="str">
        <f t="shared" si="29"/>
        <v>Trop SP</v>
      </c>
      <c r="I29" s="105" t="str">
        <f t="shared" si="22"/>
        <v>Attendre</v>
      </c>
      <c r="J29" s="96"/>
      <c r="K29" s="105">
        <f t="shared" si="30"/>
        <v>29.040000000000003</v>
      </c>
      <c r="L29" s="105">
        <f t="shared" si="31"/>
        <v>14.959999999999997</v>
      </c>
      <c r="M29" s="105">
        <f t="shared" si="32"/>
        <v>56.320000000000007</v>
      </c>
      <c r="N29" s="105" t="str">
        <f t="shared" si="33"/>
        <v>Trop SP</v>
      </c>
      <c r="O29" s="148" t="str">
        <f t="shared" si="23"/>
        <v>Attendre</v>
      </c>
      <c r="Q29" s="210">
        <f t="shared" si="34"/>
        <v>22</v>
      </c>
      <c r="R29" s="105">
        <f t="shared" si="35"/>
        <v>22</v>
      </c>
      <c r="S29" s="105">
        <f t="shared" si="36"/>
        <v>56.320000000000007</v>
      </c>
      <c r="T29" s="210" t="str">
        <f t="shared" si="37"/>
        <v>Trop SP</v>
      </c>
      <c r="U29" s="211" t="str">
        <f t="shared" si="24"/>
        <v>Attendre</v>
      </c>
      <c r="W29" s="189">
        <f t="shared" si="38"/>
        <v>26.4</v>
      </c>
      <c r="X29" s="105">
        <f t="shared" si="39"/>
        <v>17.600000000000001</v>
      </c>
      <c r="Y29" s="105">
        <f t="shared" si="40"/>
        <v>56.320000000000007</v>
      </c>
      <c r="Z29" s="197" t="str">
        <f t="shared" si="41"/>
        <v>Trop SP</v>
      </c>
      <c r="AA29" s="190" t="str">
        <f t="shared" si="25"/>
        <v>Attendre</v>
      </c>
      <c r="AC29" s="228">
        <f t="shared" si="42"/>
        <v>29.040000000000003</v>
      </c>
      <c r="AD29" s="105">
        <f t="shared" si="43"/>
        <v>14.959999999999997</v>
      </c>
      <c r="AE29" s="105">
        <f t="shared" si="44"/>
        <v>26.400000000000002</v>
      </c>
      <c r="AF29" s="238">
        <f t="shared" si="45"/>
        <v>1</v>
      </c>
      <c r="AG29" s="106">
        <f t="shared" si="46"/>
        <v>0</v>
      </c>
      <c r="AH29" s="105">
        <f t="shared" si="47"/>
        <v>26.400000000000002</v>
      </c>
      <c r="AI29" s="229">
        <f t="shared" si="48"/>
        <v>0.41249999999999998</v>
      </c>
    </row>
    <row r="30" spans="1:35" x14ac:dyDescent="0.45">
      <c r="A30" s="30">
        <v>0.75</v>
      </c>
      <c r="B30" s="31">
        <f>A30*A$3</f>
        <v>52.800000000000004</v>
      </c>
      <c r="C30" s="31">
        <f>A$3-B30</f>
        <v>17.600000000000001</v>
      </c>
      <c r="E30" s="147">
        <f t="shared" si="26"/>
        <v>21.120000000000005</v>
      </c>
      <c r="F30" s="105">
        <f t="shared" si="27"/>
        <v>31.68</v>
      </c>
      <c r="G30" s="105">
        <f t="shared" si="28"/>
        <v>46.464000000000006</v>
      </c>
      <c r="H30" s="156" t="str">
        <f t="shared" si="29"/>
        <v>Trop SP</v>
      </c>
      <c r="I30" s="105" t="str">
        <f t="shared" si="22"/>
        <v>Attendre</v>
      </c>
      <c r="J30" s="96"/>
      <c r="K30" s="105">
        <f t="shared" si="30"/>
        <v>34.848000000000006</v>
      </c>
      <c r="L30" s="105">
        <f t="shared" si="31"/>
        <v>17.951999999999998</v>
      </c>
      <c r="M30" s="105">
        <f t="shared" si="32"/>
        <v>56.320000000000007</v>
      </c>
      <c r="N30" s="105" t="str">
        <f t="shared" si="33"/>
        <v>Trop SP</v>
      </c>
      <c r="O30" s="148" t="str">
        <f t="shared" si="23"/>
        <v>Attendre</v>
      </c>
      <c r="Q30" s="210">
        <f t="shared" si="34"/>
        <v>26.400000000000002</v>
      </c>
      <c r="R30" s="105">
        <f t="shared" si="35"/>
        <v>26.400000000000002</v>
      </c>
      <c r="S30" s="105">
        <f t="shared" si="36"/>
        <v>56.320000000000007</v>
      </c>
      <c r="T30" s="210" t="str">
        <f t="shared" si="37"/>
        <v>Trop SP</v>
      </c>
      <c r="U30" s="211" t="str">
        <f t="shared" si="24"/>
        <v>Attendre</v>
      </c>
      <c r="W30" s="189">
        <f t="shared" si="38"/>
        <v>31.68</v>
      </c>
      <c r="X30" s="105">
        <f t="shared" si="39"/>
        <v>21.120000000000005</v>
      </c>
      <c r="Y30" s="105">
        <f t="shared" si="40"/>
        <v>56.320000000000007</v>
      </c>
      <c r="Z30" s="197" t="str">
        <f t="shared" si="41"/>
        <v>Trop SP</v>
      </c>
      <c r="AA30" s="190" t="str">
        <f t="shared" si="25"/>
        <v>Attendre</v>
      </c>
      <c r="AC30" s="228">
        <f t="shared" si="42"/>
        <v>34.848000000000006</v>
      </c>
      <c r="AD30" s="105">
        <f t="shared" si="43"/>
        <v>17.951999999999998</v>
      </c>
      <c r="AE30" s="105">
        <f t="shared" si="44"/>
        <v>17.600000000000001</v>
      </c>
      <c r="AF30" s="238">
        <f t="shared" si="45"/>
        <v>1</v>
      </c>
      <c r="AG30" s="106">
        <f t="shared" si="46"/>
        <v>0</v>
      </c>
      <c r="AH30" s="105">
        <f t="shared" si="47"/>
        <v>17.600000000000001</v>
      </c>
      <c r="AI30" s="229">
        <f t="shared" si="48"/>
        <v>0.49500000000000005</v>
      </c>
    </row>
    <row r="31" spans="1:35" x14ac:dyDescent="0.45">
      <c r="A31" s="30">
        <v>0.875</v>
      </c>
      <c r="B31" s="31">
        <f>A31*A$3</f>
        <v>61.600000000000009</v>
      </c>
      <c r="C31" s="31">
        <f>A$3-B31</f>
        <v>8.7999999999999972</v>
      </c>
      <c r="E31" s="147">
        <f t="shared" si="26"/>
        <v>24.640000000000004</v>
      </c>
      <c r="F31" s="105">
        <f t="shared" si="27"/>
        <v>36.960000000000008</v>
      </c>
      <c r="G31" s="105">
        <f t="shared" si="28"/>
        <v>46.464000000000006</v>
      </c>
      <c r="H31" s="156" t="str">
        <f t="shared" si="29"/>
        <v>Trop SP</v>
      </c>
      <c r="I31" s="105" t="str">
        <f t="shared" si="22"/>
        <v>Attendre</v>
      </c>
      <c r="J31" s="96"/>
      <c r="K31" s="105">
        <f t="shared" si="30"/>
        <v>40.656000000000006</v>
      </c>
      <c r="L31" s="105">
        <f t="shared" si="31"/>
        <v>20.944000000000003</v>
      </c>
      <c r="M31" s="105">
        <f t="shared" si="32"/>
        <v>56.320000000000007</v>
      </c>
      <c r="N31" s="105" t="str">
        <f t="shared" si="33"/>
        <v>Trop SP</v>
      </c>
      <c r="O31" s="148" t="str">
        <f t="shared" si="23"/>
        <v>Attendre</v>
      </c>
      <c r="Q31" s="210">
        <f t="shared" si="34"/>
        <v>30.800000000000004</v>
      </c>
      <c r="R31" s="105">
        <f t="shared" si="35"/>
        <v>30.800000000000004</v>
      </c>
      <c r="S31" s="105">
        <f t="shared" si="36"/>
        <v>56.320000000000007</v>
      </c>
      <c r="T31" s="210" t="str">
        <f t="shared" si="37"/>
        <v>Trop SP</v>
      </c>
      <c r="U31" s="211" t="str">
        <f t="shared" si="24"/>
        <v>Attendre</v>
      </c>
      <c r="W31" s="189">
        <f t="shared" si="38"/>
        <v>36.96</v>
      </c>
      <c r="X31" s="105">
        <f t="shared" si="39"/>
        <v>24.640000000000008</v>
      </c>
      <c r="Y31" s="105">
        <f t="shared" si="40"/>
        <v>56.320000000000007</v>
      </c>
      <c r="Z31" s="197" t="str">
        <f t="shared" si="41"/>
        <v>Trop SP</v>
      </c>
      <c r="AA31" s="190" t="str">
        <f t="shared" si="25"/>
        <v>Attendre</v>
      </c>
      <c r="AC31" s="228">
        <f t="shared" si="42"/>
        <v>40.656000000000006</v>
      </c>
      <c r="AD31" s="105">
        <f t="shared" si="43"/>
        <v>20.944000000000003</v>
      </c>
      <c r="AE31" s="105">
        <f t="shared" si="44"/>
        <v>8.8000000000000007</v>
      </c>
      <c r="AF31" s="238">
        <f t="shared" si="45"/>
        <v>1</v>
      </c>
      <c r="AG31" s="106">
        <f t="shared" si="46"/>
        <v>0</v>
      </c>
      <c r="AH31" s="105">
        <f t="shared" si="47"/>
        <v>8.8000000000000007</v>
      </c>
      <c r="AI31" s="229">
        <f t="shared" si="48"/>
        <v>0.57750000000000001</v>
      </c>
    </row>
    <row r="32" spans="1:35" ht="14.65" thickBot="1" x14ac:dyDescent="0.5">
      <c r="A32" s="30">
        <v>1</v>
      </c>
      <c r="B32" s="31">
        <f>A32*A$3</f>
        <v>70.400000000000006</v>
      </c>
      <c r="C32" s="31">
        <f>A$3-B32</f>
        <v>0</v>
      </c>
      <c r="E32" s="149">
        <f t="shared" si="26"/>
        <v>28.160000000000004</v>
      </c>
      <c r="F32" s="150">
        <f t="shared" si="27"/>
        <v>42.24</v>
      </c>
      <c r="G32" s="150">
        <f t="shared" si="28"/>
        <v>46.464000000000006</v>
      </c>
      <c r="H32" s="157" t="str">
        <f t="shared" si="29"/>
        <v>Trop SP</v>
      </c>
      <c r="I32" s="150" t="str">
        <f t="shared" si="22"/>
        <v>Attendre</v>
      </c>
      <c r="J32" s="151"/>
      <c r="K32" s="150">
        <f t="shared" si="30"/>
        <v>46.464000000000006</v>
      </c>
      <c r="L32" s="150">
        <f t="shared" si="31"/>
        <v>23.936</v>
      </c>
      <c r="M32" s="150">
        <f t="shared" si="32"/>
        <v>56.320000000000007</v>
      </c>
      <c r="N32" s="150" t="str">
        <f t="shared" si="33"/>
        <v>Trop SP</v>
      </c>
      <c r="O32" s="152" t="str">
        <f t="shared" si="23"/>
        <v>Attendre</v>
      </c>
      <c r="Q32" s="212">
        <f t="shared" si="34"/>
        <v>35.200000000000003</v>
      </c>
      <c r="R32" s="213">
        <f t="shared" si="35"/>
        <v>35.200000000000003</v>
      </c>
      <c r="S32" s="213">
        <f t="shared" si="36"/>
        <v>56.320000000000007</v>
      </c>
      <c r="T32" s="212" t="str">
        <f t="shared" si="37"/>
        <v>Trop SP</v>
      </c>
      <c r="U32" s="214" t="str">
        <f t="shared" si="24"/>
        <v>Attendre</v>
      </c>
      <c r="W32" s="191">
        <f t="shared" si="38"/>
        <v>42.24</v>
      </c>
      <c r="X32" s="192">
        <f t="shared" si="39"/>
        <v>28.160000000000004</v>
      </c>
      <c r="Y32" s="192">
        <f t="shared" si="40"/>
        <v>56.320000000000007</v>
      </c>
      <c r="Z32" s="198" t="str">
        <f t="shared" si="41"/>
        <v>Trop SP</v>
      </c>
      <c r="AA32" s="193" t="str">
        <f t="shared" si="25"/>
        <v>Attendre</v>
      </c>
      <c r="AC32" s="230">
        <f t="shared" si="42"/>
        <v>46.464000000000006</v>
      </c>
      <c r="AD32" s="231">
        <f t="shared" si="43"/>
        <v>23.936</v>
      </c>
      <c r="AE32" s="231">
        <f t="shared" si="44"/>
        <v>0</v>
      </c>
      <c r="AF32" s="239">
        <f t="shared" si="45"/>
        <v>1</v>
      </c>
      <c r="AG32" s="232" t="str">
        <f t="shared" si="46"/>
        <v>Déjà</v>
      </c>
      <c r="AH32" s="231" t="str">
        <f t="shared" si="47"/>
        <v>plein…</v>
      </c>
      <c r="AI32" s="233">
        <f t="shared" si="48"/>
        <v>0.66</v>
      </c>
    </row>
    <row r="33" spans="32:32" ht="14.65" thickTop="1" x14ac:dyDescent="0.45">
      <c r="AF33" s="89"/>
    </row>
    <row r="49" spans="1:1" x14ac:dyDescent="0.45">
      <c r="A49" s="93"/>
    </row>
  </sheetData>
  <mergeCells count="44">
    <mergeCell ref="Z22:AA22"/>
    <mergeCell ref="AF22:AI22"/>
    <mergeCell ref="AE22:AE23"/>
    <mergeCell ref="AE5:AE6"/>
    <mergeCell ref="AF5:AI5"/>
    <mergeCell ref="N22:O22"/>
    <mergeCell ref="G22:G23"/>
    <mergeCell ref="H22:I22"/>
    <mergeCell ref="S22:S23"/>
    <mergeCell ref="T22:U22"/>
    <mergeCell ref="Y5:Y6"/>
    <mergeCell ref="Y22:Y23"/>
    <mergeCell ref="H5:I5"/>
    <mergeCell ref="G5:G6"/>
    <mergeCell ref="N5:O5"/>
    <mergeCell ref="M5:M6"/>
    <mergeCell ref="S5:S6"/>
    <mergeCell ref="T5:U5"/>
    <mergeCell ref="AC22:AD22"/>
    <mergeCell ref="A18:A19"/>
    <mergeCell ref="E18:I18"/>
    <mergeCell ref="A22:A23"/>
    <mergeCell ref="E22:F22"/>
    <mergeCell ref="K22:L22"/>
    <mergeCell ref="Q22:R22"/>
    <mergeCell ref="W22:X22"/>
    <mergeCell ref="M22:M23"/>
    <mergeCell ref="AC1:AI1"/>
    <mergeCell ref="K18:O18"/>
    <mergeCell ref="Q18:U18"/>
    <mergeCell ref="W18:AA18"/>
    <mergeCell ref="AC18:AI18"/>
    <mergeCell ref="Z5:AA5"/>
    <mergeCell ref="A5:A6"/>
    <mergeCell ref="A1:A2"/>
    <mergeCell ref="AC5:AD5"/>
    <mergeCell ref="W1:AA1"/>
    <mergeCell ref="W5:X5"/>
    <mergeCell ref="Q1:U1"/>
    <mergeCell ref="Q5:R5"/>
    <mergeCell ref="K5:L5"/>
    <mergeCell ref="E5:F5"/>
    <mergeCell ref="E1:I1"/>
    <mergeCell ref="K1:O1"/>
  </mergeCells>
  <conditionalFormatting sqref="A7:A15">
    <cfRule type="colorScale" priority="2">
      <colorScale>
        <cfvo type="min"/>
        <cfvo type="max"/>
        <color rgb="FFFFEF9C"/>
        <color rgb="FF63BE7B"/>
      </colorScale>
    </cfRule>
  </conditionalFormatting>
  <conditionalFormatting sqref="A24:A32">
    <cfRule type="colorScale" priority="1">
      <colorScale>
        <cfvo type="min"/>
        <cfvo type="max"/>
        <color rgb="FFFFEF9C"/>
        <color rgb="FF63BE7B"/>
      </colorScale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Suivi consommation</vt:lpstr>
      <vt:lpstr>Abaque pleins E85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Emeric LABEDAN</dc:creator>
  <cp:lastModifiedBy>Emeric LABEDAN</cp:lastModifiedBy>
  <cp:lastPrinted>2018-10-23T05:34:00Z</cp:lastPrinted>
  <dcterms:created xsi:type="dcterms:W3CDTF">2018-10-21T11:39:31Z</dcterms:created>
  <dcterms:modified xsi:type="dcterms:W3CDTF">2018-10-23T05:37:45Z</dcterms:modified>
</cp:coreProperties>
</file>